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79182C1-6257-4AAD-88F6-C9CF38C94FB4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5" r:id="rId2"/>
    <sheet name="BAV" sheetId="3" r:id="rId3"/>
  </sheets>
  <calcPr calcId="181029"/>
</workbook>
</file>

<file path=xl/calcChain.xml><?xml version="1.0" encoding="utf-8"?>
<calcChain xmlns="http://schemas.openxmlformats.org/spreadsheetml/2006/main">
  <c r="F51" i="5" l="1"/>
  <c r="G51" i="5"/>
  <c r="K51" i="5"/>
  <c r="C9" i="5"/>
  <c r="D9" i="5"/>
  <c r="F16" i="5"/>
  <c r="F17" i="5" s="1"/>
  <c r="C17" i="5"/>
  <c r="E21" i="5"/>
  <c r="F21" i="5"/>
  <c r="G21" i="5"/>
  <c r="I21" i="5"/>
  <c r="Q21" i="5"/>
  <c r="E22" i="5"/>
  <c r="F22" i="5"/>
  <c r="G22" i="5"/>
  <c r="H22" i="5"/>
  <c r="Q22" i="5"/>
  <c r="E23" i="5"/>
  <c r="F23" i="5"/>
  <c r="G23" i="5"/>
  <c r="I23" i="5"/>
  <c r="Q23" i="5"/>
  <c r="E24" i="5"/>
  <c r="F24" i="5"/>
  <c r="G24" i="5"/>
  <c r="I24" i="5"/>
  <c r="Q24" i="5"/>
  <c r="E25" i="5"/>
  <c r="F25" i="5"/>
  <c r="G25" i="5"/>
  <c r="I25" i="5"/>
  <c r="Q25" i="5"/>
  <c r="E26" i="5"/>
  <c r="F26" i="5"/>
  <c r="G26" i="5"/>
  <c r="I26" i="5"/>
  <c r="Q26" i="5"/>
  <c r="E27" i="5"/>
  <c r="F27" i="5"/>
  <c r="G27" i="5"/>
  <c r="I27" i="5"/>
  <c r="Q27" i="5"/>
  <c r="E28" i="5"/>
  <c r="F28" i="5"/>
  <c r="G28" i="5"/>
  <c r="I28" i="5"/>
  <c r="Q28" i="5"/>
  <c r="E29" i="5"/>
  <c r="F29" i="5"/>
  <c r="G29" i="5"/>
  <c r="I29" i="5"/>
  <c r="Q29" i="5"/>
  <c r="E30" i="5"/>
  <c r="F30" i="5"/>
  <c r="G30" i="5"/>
  <c r="I30" i="5"/>
  <c r="Q30" i="5"/>
  <c r="E31" i="5"/>
  <c r="F31" i="5"/>
  <c r="G31" i="5"/>
  <c r="I31" i="5"/>
  <c r="Q31" i="5"/>
  <c r="E32" i="5"/>
  <c r="F32" i="5"/>
  <c r="G32" i="5"/>
  <c r="I32" i="5"/>
  <c r="Q32" i="5"/>
  <c r="E33" i="5"/>
  <c r="F33" i="5"/>
  <c r="G33" i="5"/>
  <c r="I33" i="5"/>
  <c r="Q33" i="5"/>
  <c r="E34" i="5"/>
  <c r="F34" i="5"/>
  <c r="G34" i="5"/>
  <c r="I34" i="5"/>
  <c r="Q34" i="5"/>
  <c r="E35" i="5"/>
  <c r="F35" i="5"/>
  <c r="G35" i="5"/>
  <c r="I35" i="5"/>
  <c r="Q35" i="5"/>
  <c r="E36" i="5"/>
  <c r="F36" i="5"/>
  <c r="G36" i="5"/>
  <c r="I36" i="5"/>
  <c r="Q36" i="5"/>
  <c r="E37" i="5"/>
  <c r="F37" i="5"/>
  <c r="G37" i="5"/>
  <c r="I37" i="5"/>
  <c r="Q37" i="5"/>
  <c r="E38" i="5"/>
  <c r="F38" i="5"/>
  <c r="G38" i="5"/>
  <c r="I38" i="5"/>
  <c r="Q38" i="5"/>
  <c r="E39" i="5"/>
  <c r="F39" i="5"/>
  <c r="G39" i="5"/>
  <c r="I39" i="5"/>
  <c r="Q39" i="5"/>
  <c r="E40" i="5"/>
  <c r="F40" i="5"/>
  <c r="G40" i="5"/>
  <c r="I40" i="5"/>
  <c r="Q40" i="5"/>
  <c r="E41" i="5"/>
  <c r="F41" i="5"/>
  <c r="G41" i="5"/>
  <c r="I41" i="5"/>
  <c r="Q41" i="5"/>
  <c r="E42" i="5"/>
  <c r="F42" i="5"/>
  <c r="G42" i="5"/>
  <c r="I42" i="5"/>
  <c r="Q42" i="5"/>
  <c r="E43" i="5"/>
  <c r="F43" i="5"/>
  <c r="G43" i="5"/>
  <c r="I43" i="5"/>
  <c r="Q43" i="5"/>
  <c r="E44" i="5"/>
  <c r="F44" i="5"/>
  <c r="G44" i="5"/>
  <c r="I44" i="5"/>
  <c r="Q44" i="5"/>
  <c r="E45" i="5"/>
  <c r="F45" i="5"/>
  <c r="G45" i="5"/>
  <c r="I45" i="5"/>
  <c r="Q45" i="5"/>
  <c r="E46" i="5"/>
  <c r="F46" i="5"/>
  <c r="G46" i="5"/>
  <c r="I46" i="5"/>
  <c r="Q46" i="5"/>
  <c r="E47" i="5"/>
  <c r="F47" i="5"/>
  <c r="G47" i="5"/>
  <c r="I47" i="5"/>
  <c r="Q47" i="5"/>
  <c r="E48" i="5"/>
  <c r="F48" i="5"/>
  <c r="G48" i="5"/>
  <c r="I48" i="5"/>
  <c r="Q48" i="5"/>
  <c r="E49" i="5"/>
  <c r="F49" i="5"/>
  <c r="G49" i="5"/>
  <c r="I49" i="5"/>
  <c r="Q49" i="5"/>
  <c r="E50" i="5"/>
  <c r="F50" i="5"/>
  <c r="G50" i="5"/>
  <c r="I50" i="5"/>
  <c r="Q50" i="5"/>
  <c r="E51" i="5"/>
  <c r="Q51" i="5"/>
  <c r="E52" i="5"/>
  <c r="F52" i="5"/>
  <c r="G52" i="5"/>
  <c r="K52" i="5"/>
  <c r="Q52" i="5"/>
  <c r="E53" i="5"/>
  <c r="F53" i="5"/>
  <c r="G53" i="5"/>
  <c r="K53" i="5"/>
  <c r="Q53" i="5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3" i="1"/>
  <c r="F33" i="1"/>
  <c r="G33" i="1"/>
  <c r="I33" i="1"/>
  <c r="E37" i="1"/>
  <c r="F37" i="1"/>
  <c r="G37" i="1"/>
  <c r="I37" i="1"/>
  <c r="E38" i="1"/>
  <c r="F38" i="1"/>
  <c r="G38" i="1"/>
  <c r="I38" i="1"/>
  <c r="E40" i="1"/>
  <c r="F40" i="1"/>
  <c r="G40" i="1"/>
  <c r="I40" i="1"/>
  <c r="E41" i="1"/>
  <c r="F41" i="1"/>
  <c r="G41" i="1"/>
  <c r="I41" i="1"/>
  <c r="E43" i="1"/>
  <c r="F43" i="1"/>
  <c r="G43" i="1"/>
  <c r="I43" i="1"/>
  <c r="E44" i="1"/>
  <c r="F44" i="1"/>
  <c r="G44" i="1"/>
  <c r="I44" i="1"/>
  <c r="E45" i="1"/>
  <c r="F45" i="1"/>
  <c r="G45" i="1"/>
  <c r="I45" i="1"/>
  <c r="E46" i="1"/>
  <c r="F46" i="1"/>
  <c r="G46" i="1"/>
  <c r="I46" i="1"/>
  <c r="F16" i="1"/>
  <c r="D9" i="1"/>
  <c r="C9" i="1"/>
  <c r="G40" i="3"/>
  <c r="C40" i="3"/>
  <c r="E40" i="3"/>
  <c r="G39" i="3"/>
  <c r="C39" i="3"/>
  <c r="E39" i="3"/>
  <c r="G38" i="3"/>
  <c r="C38" i="3"/>
  <c r="E38" i="3"/>
  <c r="G37" i="3"/>
  <c r="C37" i="3"/>
  <c r="E37" i="3"/>
  <c r="G36" i="3"/>
  <c r="C36" i="3"/>
  <c r="E36" i="3"/>
  <c r="G35" i="3"/>
  <c r="C35" i="3"/>
  <c r="E35" i="3"/>
  <c r="G34" i="3"/>
  <c r="C34" i="3"/>
  <c r="E34" i="3"/>
  <c r="G33" i="3"/>
  <c r="C33" i="3"/>
  <c r="E33" i="3"/>
  <c r="G32" i="3"/>
  <c r="C32" i="3"/>
  <c r="E32" i="3"/>
  <c r="G31" i="3"/>
  <c r="C31" i="3"/>
  <c r="E31" i="3"/>
  <c r="G30" i="3"/>
  <c r="C30" i="3"/>
  <c r="E30" i="3"/>
  <c r="G29" i="3"/>
  <c r="C29" i="3"/>
  <c r="E29" i="3"/>
  <c r="G28" i="3"/>
  <c r="C28" i="3"/>
  <c r="E28" i="3"/>
  <c r="G27" i="3"/>
  <c r="C27" i="3"/>
  <c r="E27" i="3"/>
  <c r="G26" i="3"/>
  <c r="C26" i="3"/>
  <c r="E26" i="3"/>
  <c r="G25" i="3"/>
  <c r="C25" i="3"/>
  <c r="E25" i="3"/>
  <c r="G24" i="3"/>
  <c r="C24" i="3"/>
  <c r="E24" i="3"/>
  <c r="G23" i="3"/>
  <c r="C23" i="3"/>
  <c r="E23" i="3"/>
  <c r="G22" i="3"/>
  <c r="C22" i="3"/>
  <c r="E22" i="3"/>
  <c r="G21" i="3"/>
  <c r="C21" i="3"/>
  <c r="E21" i="3"/>
  <c r="G20" i="3"/>
  <c r="C20" i="3"/>
  <c r="G19" i="3"/>
  <c r="C19" i="3"/>
  <c r="E19" i="3"/>
  <c r="G18" i="3"/>
  <c r="C18" i="3"/>
  <c r="E18" i="3"/>
  <c r="G17" i="3"/>
  <c r="C17" i="3"/>
  <c r="E17" i="3"/>
  <c r="G16" i="3"/>
  <c r="C16" i="3"/>
  <c r="E16" i="3"/>
  <c r="G15" i="3"/>
  <c r="C15" i="3"/>
  <c r="E15" i="3"/>
  <c r="G14" i="3"/>
  <c r="C14" i="3"/>
  <c r="G13" i="3"/>
  <c r="C13" i="3"/>
  <c r="E13" i="3"/>
  <c r="G12" i="3"/>
  <c r="C12" i="3"/>
  <c r="G11" i="3"/>
  <c r="C11" i="3"/>
  <c r="E1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E53" i="1"/>
  <c r="F53" i="1"/>
  <c r="G53" i="1"/>
  <c r="K53" i="1"/>
  <c r="Q53" i="1"/>
  <c r="E21" i="1"/>
  <c r="F21" i="1"/>
  <c r="G21" i="1"/>
  <c r="I21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31" i="1"/>
  <c r="F31" i="1"/>
  <c r="G31" i="1"/>
  <c r="I31" i="1"/>
  <c r="E32" i="1"/>
  <c r="F32" i="1"/>
  <c r="G32" i="1"/>
  <c r="I32" i="1"/>
  <c r="E34" i="1"/>
  <c r="F34" i="1"/>
  <c r="G34" i="1"/>
  <c r="I34" i="1"/>
  <c r="E35" i="1"/>
  <c r="F35" i="1"/>
  <c r="G35" i="1"/>
  <c r="I35" i="1"/>
  <c r="E36" i="1"/>
  <c r="F36" i="1"/>
  <c r="G36" i="1"/>
  <c r="I36" i="1"/>
  <c r="E39" i="1"/>
  <c r="F39" i="1"/>
  <c r="G39" i="1"/>
  <c r="I39" i="1"/>
  <c r="E42" i="1"/>
  <c r="F42" i="1"/>
  <c r="G42" i="1"/>
  <c r="I42" i="1"/>
  <c r="E47" i="1"/>
  <c r="F47" i="1"/>
  <c r="G47" i="1"/>
  <c r="I47" i="1"/>
  <c r="E48" i="1"/>
  <c r="F48" i="1"/>
  <c r="G48" i="1"/>
  <c r="I48" i="1"/>
  <c r="E49" i="1"/>
  <c r="F49" i="1"/>
  <c r="G49" i="1"/>
  <c r="I49" i="1"/>
  <c r="E50" i="1"/>
  <c r="F50" i="1"/>
  <c r="G50" i="1"/>
  <c r="I50" i="1"/>
  <c r="E51" i="1"/>
  <c r="F51" i="1"/>
  <c r="G51" i="1"/>
  <c r="K51" i="1"/>
  <c r="E52" i="1"/>
  <c r="F52" i="1"/>
  <c r="G52" i="1"/>
  <c r="K52" i="1"/>
  <c r="Q21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E22" i="1"/>
  <c r="F22" i="1"/>
  <c r="G22" i="1"/>
  <c r="H22" i="1"/>
  <c r="E20" i="3"/>
  <c r="E14" i="3"/>
  <c r="E12" i="3"/>
  <c r="Q22" i="1"/>
  <c r="C17" i="1"/>
  <c r="C11" i="1"/>
  <c r="C12" i="1"/>
  <c r="C12" i="5"/>
  <c r="C11" i="5"/>
  <c r="O37" i="5" l="1"/>
  <c r="O53" i="5"/>
  <c r="O30" i="5"/>
  <c r="O51" i="5"/>
  <c r="O28" i="5"/>
  <c r="O36" i="5"/>
  <c r="O32" i="5"/>
  <c r="O50" i="5"/>
  <c r="O45" i="5"/>
  <c r="O47" i="5"/>
  <c r="O22" i="5"/>
  <c r="O43" i="5"/>
  <c r="O31" i="5"/>
  <c r="O24" i="5"/>
  <c r="O40" i="5"/>
  <c r="O25" i="5"/>
  <c r="O23" i="5"/>
  <c r="O26" i="5"/>
  <c r="O52" i="5"/>
  <c r="O39" i="5"/>
  <c r="C15" i="5"/>
  <c r="O21" i="5"/>
  <c r="O49" i="5"/>
  <c r="O48" i="5"/>
  <c r="O44" i="5"/>
  <c r="O27" i="5"/>
  <c r="O34" i="5"/>
  <c r="O46" i="5"/>
  <c r="O41" i="5"/>
  <c r="O29" i="5"/>
  <c r="O42" i="5"/>
  <c r="O35" i="5"/>
  <c r="O38" i="5"/>
  <c r="O33" i="5"/>
  <c r="C16" i="5"/>
  <c r="D18" i="5" s="1"/>
  <c r="C16" i="1"/>
  <c r="D18" i="1" s="1"/>
  <c r="O37" i="1"/>
  <c r="O39" i="1"/>
  <c r="O24" i="1"/>
  <c r="O34" i="1"/>
  <c r="O35" i="1"/>
  <c r="O22" i="1"/>
  <c r="O41" i="1"/>
  <c r="O32" i="1"/>
  <c r="O42" i="1"/>
  <c r="O52" i="1"/>
  <c r="O46" i="1"/>
  <c r="O28" i="1"/>
  <c r="O31" i="1"/>
  <c r="O43" i="1"/>
  <c r="O40" i="1"/>
  <c r="O50" i="1"/>
  <c r="O45" i="1"/>
  <c r="O36" i="1"/>
  <c r="O47" i="1"/>
  <c r="O21" i="1"/>
  <c r="O48" i="1"/>
  <c r="O38" i="1"/>
  <c r="O53" i="1"/>
  <c r="O49" i="1"/>
  <c r="O44" i="1"/>
  <c r="O25" i="1"/>
  <c r="O30" i="1"/>
  <c r="O33" i="1"/>
  <c r="O27" i="1"/>
  <c r="O51" i="1"/>
  <c r="O29" i="1"/>
  <c r="O23" i="1"/>
  <c r="C15" i="1"/>
  <c r="F18" i="1" s="1"/>
  <c r="O26" i="1"/>
  <c r="F17" i="1"/>
  <c r="C18" i="5" l="1"/>
  <c r="F18" i="5"/>
  <c r="F19" i="5" s="1"/>
  <c r="C18" i="1"/>
  <c r="F19" i="1"/>
</calcChain>
</file>

<file path=xl/sharedStrings.xml><?xml version="1.0" encoding="utf-8"?>
<sst xmlns="http://schemas.openxmlformats.org/spreadsheetml/2006/main" count="379" uniqueCount="153">
  <si>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</si>
  <si>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</si>
  <si>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</si>
  <si>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</si>
  <si>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</si>
  <si>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</si>
  <si>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</si>
  <si>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</si>
  <si>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</si>
  <si>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</si>
  <si>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</si>
  <si>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</si>
  <si>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</si>
  <si>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</si>
  <si>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</si>
  <si>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</si>
  <si>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</si>
  <si>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</si>
  <si>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</si>
  <si>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Linear</t>
  </si>
  <si>
    <t>Quadratic</t>
  </si>
  <si>
    <t>Q. Fit</t>
  </si>
  <si>
    <t>Lin Fit</t>
  </si>
  <si>
    <t>Sum diff² =</t>
  </si>
  <si>
    <t>System Type:</t>
  </si>
  <si>
    <t>S5</t>
  </si>
  <si>
    <t>S6</t>
  </si>
  <si>
    <t>Misc</t>
  </si>
  <si>
    <t># of data points:</t>
  </si>
  <si>
    <t>FH Cep / GSC 04254-02753</t>
  </si>
  <si>
    <t>EB</t>
  </si>
  <si>
    <t>K.L”chel MVS 678</t>
  </si>
  <si>
    <t>G.Romano MSAI 33.363</t>
  </si>
  <si>
    <t>J.Vandenbroere BBS 119</t>
  </si>
  <si>
    <t>ROTSE</t>
  </si>
  <si>
    <t>I</t>
  </si>
  <si>
    <t>II</t>
  </si>
  <si>
    <t>IBVS 5690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</si>
  <si>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</si>
  <si>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</si>
  <si>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</si>
  <si>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</si>
  <si>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</si>
  <si>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</si>
  <si>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</si>
  <si>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</si>
  <si>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</si>
  <si>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</si>
  <si>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</si>
  <si>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2432805.441 </t>
  </si>
  <si>
    <t> 10.09.1948 22:35 </t>
  </si>
  <si>
    <t> 0.000 </t>
  </si>
  <si>
    <t>P </t>
  </si>
  <si>
    <t> K.Löchel </t>
  </si>
  <si>
    <t> MVS 678 </t>
  </si>
  <si>
    <t>2434599.520 </t>
  </si>
  <si>
    <t> 10.08.1953 00:28 </t>
  </si>
  <si>
    <t> 0.018 </t>
  </si>
  <si>
    <t>2434624.547 </t>
  </si>
  <si>
    <t> 04.09.1953 01:07 </t>
  </si>
  <si>
    <t> -0.091 </t>
  </si>
  <si>
    <t>2434651.333 </t>
  </si>
  <si>
    <t> 30.09.1953 19:59 </t>
  </si>
  <si>
    <t> -0.011 </t>
  </si>
  <si>
    <t>2434662.335 </t>
  </si>
  <si>
    <t> 11.10.1953 20:02 </t>
  </si>
  <si>
    <t> -0.006 </t>
  </si>
  <si>
    <t>2436068.35 </t>
  </si>
  <si>
    <t> 17.08.1957 20:24 </t>
  </si>
  <si>
    <t> -0.02 </t>
  </si>
  <si>
    <t> G.Romano </t>
  </si>
  <si>
    <t> MSAI 33.363 </t>
  </si>
  <si>
    <t>2436079.34 </t>
  </si>
  <si>
    <t> 28.08.1957 20:09 </t>
  </si>
  <si>
    <t> -0.03 </t>
  </si>
  <si>
    <t>2436098.33 </t>
  </si>
  <si>
    <t> 16.09.1957 19:55 </t>
  </si>
  <si>
    <t> 0.11 </t>
  </si>
  <si>
    <t>2436156.33 </t>
  </si>
  <si>
    <t> 13.11.1957 19:55 </t>
  </si>
  <si>
    <t>2436434.448 </t>
  </si>
  <si>
    <t> 18.08.1958 22:45 </t>
  </si>
  <si>
    <t> 0.039 </t>
  </si>
  <si>
    <t>2436434.476 </t>
  </si>
  <si>
    <t> 18.08.1958 23:25 </t>
  </si>
  <si>
    <t> 0.067 </t>
  </si>
  <si>
    <t>2436453.34 </t>
  </si>
  <si>
    <t> 06.09.1958 20:09 </t>
  </si>
  <si>
    <t> 0.08 </t>
  </si>
  <si>
    <t>2436453.342 </t>
  </si>
  <si>
    <t> 06.09.1958 20:12 </t>
  </si>
  <si>
    <t> 0.081 </t>
  </si>
  <si>
    <t>2436456.404 </t>
  </si>
  <si>
    <t> 09.09.1958 21:41 </t>
  </si>
  <si>
    <t> 0.001 </t>
  </si>
  <si>
    <t>2436459.418 </t>
  </si>
  <si>
    <t> 12.09.1958 22:01 </t>
  </si>
  <si>
    <t> -0.127 </t>
  </si>
  <si>
    <t>2436522.34 </t>
  </si>
  <si>
    <t> 14.11.1958 20:09 </t>
  </si>
  <si>
    <t> -0.04 </t>
  </si>
  <si>
    <t>2436541.22 </t>
  </si>
  <si>
    <t> 03.12.1958 17:16 </t>
  </si>
  <si>
    <t>2436541.255 </t>
  </si>
  <si>
    <t> 03.12.1958 18:07 </t>
  </si>
  <si>
    <t> 0.019 </t>
  </si>
  <si>
    <t>2436574.22 </t>
  </si>
  <si>
    <t> 05.01.1959 17:16 </t>
  </si>
  <si>
    <t> -0.01 </t>
  </si>
  <si>
    <t>2436723.43 </t>
  </si>
  <si>
    <t> 03.06.1959 22:19 </t>
  </si>
  <si>
    <t>2436723.525 </t>
  </si>
  <si>
    <t> 04.06.1959 00:36 </t>
  </si>
  <si>
    <t> 0.055 </t>
  </si>
  <si>
    <t>2436745.39 </t>
  </si>
  <si>
    <t> 25.06.1959 21:21 </t>
  </si>
  <si>
    <t> -0.07 </t>
  </si>
  <si>
    <t>2436844.40 </t>
  </si>
  <si>
    <t> 02.10.1959 21:36 </t>
  </si>
  <si>
    <t>2436874.25 </t>
  </si>
  <si>
    <t> 01.11.1959 18:00 </t>
  </si>
  <si>
    <t>2436896.21 </t>
  </si>
  <si>
    <t> 23.11.1959 17:02 </t>
  </si>
  <si>
    <t>2436899.238 </t>
  </si>
  <si>
    <t> 26.11.1959 17:42 </t>
  </si>
  <si>
    <t> -0.182 </t>
  </si>
  <si>
    <t>2437543.396 </t>
  </si>
  <si>
    <t> 31.08.1961 21:30 </t>
  </si>
  <si>
    <t> -0.126 </t>
  </si>
  <si>
    <t>2437587.480 </t>
  </si>
  <si>
    <t> 14.10.1961 23:31 </t>
  </si>
  <si>
    <t> -0.030 </t>
  </si>
  <si>
    <t>2451019.465 </t>
  </si>
  <si>
    <t> 24.07.1998 23:09 </t>
  </si>
  <si>
    <t> 0.059 </t>
  </si>
  <si>
    <t>V </t>
  </si>
  <si>
    <t> J.Vandenbroere </t>
  </si>
  <si>
    <t> BBS 119 </t>
  </si>
  <si>
    <t>2453379.6191 </t>
  </si>
  <si>
    <t> 09.01.2005 02:51 </t>
  </si>
  <si>
    <t> 0.5983 </t>
  </si>
  <si>
    <t>E </t>
  </si>
  <si>
    <t>?</t>
  </si>
  <si>
    <t> T. Krajci </t>
  </si>
  <si>
    <t>IBVS 5690 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</si>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</sst>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8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1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0" fillId="0" borderId="0" xfId="0" applyFont="1" applyAlignment="1"/>
    <xf numFmtId="172" fontId="0" fillId="0" borderId="0" xfId="0" applyNumberFormat="1" applyAlignment="1">
      <alignment horizontal="center"/>
    </xf>
    <xf numFmtId="22" fontId="0" fillId="0" borderId="0" xfId="0" applyNumberForma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2" fillId="0" borderId="0" xfId="0" applyFont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3" fillId="0" borderId="0" xfId="7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0" fillId="0" borderId="0" xfId="0" quotePrefix="1">
      <alignment vertical="top"/>
    </xf>
    <xf numFmtId="0" fontId="5" fillId="2" borderId="10" xfId="0" applyFont="1" applyFill="1" applyBorder="1" applyAlignment="1">
      <alignment horizontal="left" vertical="top" wrapText="1" indent="1"/>
    </xf>
    <xf numFmtId="0" fontId="5" fillId="2" borderId="10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right" vertical="top" wrapText="1"/>
    </xf>
    <xf numFmtId="0" fontId="13" fillId="2" borderId="10" xfId="7" applyFill="1" applyBorder="1" applyAlignment="1" applyProtection="1">
      <alignment horizontal="right" vertical="top" wrapText="1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wrapText="1"/>
    </xf>
    <xf numFmtId="0" fontId="14" fillId="0" borderId="0" xfId="0" applyFont="1">
      <alignment vertical="top"/>
    </xf>
    <xf numFmtId="0" fontId="11" fillId="0" borderId="0" xfId="0" applyFont="1">
      <alignment vertical="top"/>
    </xf>
    <xf numFmtId="0" fontId="15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8" fillId="0" borderId="0" xfId="0" applyFont="1" applyAlignment="1"/>
    <xf numFmtId="0" fontId="10" fillId="0" borderId="0" xfId="0" applyFont="1">
      <alignment vertical="top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  <xf numFmtId="0" fontId="16" fillId="3" borderId="0" xfId="0" applyFont="1" applyFill="1" applyAlignment="1"/>
    <xf numFmtId="0" fontId="8" fillId="0" borderId="0" xfId="0" applyNumberFormat="1" applyFont="1" applyAlignment="1">
      <alignment horizontal="left" vertical="top"/>
    </xf>
    <xf numFmtId="0" fontId="0" fillId="0" borderId="11" xfId="0" applyNumberFormat="1" applyBorder="1" applyAlignment="1">
      <alignment horizontal="left"/>
    </xf>
    <xf numFmtId="0" fontId="11" fillId="0" borderId="0" xfId="0" applyNumberFormat="1" applyFont="1" applyAlignment="1">
      <alignment horizontal="left" vertical="top"/>
    </xf>
    <xf numFmtId="0" fontId="0" fillId="0" borderId="3" xfId="0" applyNumberFormat="1" applyBorder="1" applyAlignment="1">
      <alignment horizontal="left"/>
    </xf>
    <xf numFmtId="0" fontId="8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left"/>
    </xf>
    <xf numFmtId="0" fontId="0" fillId="0" borderId="0" xfId="0" applyNumberFormat="1" applyAlignment="1">
      <alignment horizontal="right"/>
    </xf>
    <xf numFmtId="0" fontId="17" fillId="0" borderId="0" xfId="0" applyFont="1" applyFill="1" applyAlignment="1"/>
    <xf numFmtId="172" fontId="0" fillId="0" borderId="0" xfId="0" applyNumberForma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FH Cep - O-C Diagr.</a:t>
            </a:r>
          </a:p>
        </c:rich>
      </c:tx>
      <c:layout>
        <c:manualLayout>
          <c:xMode val="edge"/>
          <c:yMode val="edge"/>
          <c:x val="0.3764139094891005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678942920199375"/>
          <c:w val="0.8206791611021755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-571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16.5</c:v>
                </c:pt>
                <c:pt idx="5">
                  <c:v>20</c:v>
                </c:pt>
                <c:pt idx="6">
                  <c:v>467.5</c:v>
                </c:pt>
                <c:pt idx="7">
                  <c:v>471</c:v>
                </c:pt>
                <c:pt idx="8">
                  <c:v>477</c:v>
                </c:pt>
                <c:pt idx="9">
                  <c:v>495.5</c:v>
                </c:pt>
                <c:pt idx="10">
                  <c:v>584</c:v>
                </c:pt>
                <c:pt idx="11">
                  <c:v>584</c:v>
                </c:pt>
                <c:pt idx="12">
                  <c:v>590</c:v>
                </c:pt>
                <c:pt idx="13">
                  <c:v>590</c:v>
                </c:pt>
                <c:pt idx="14">
                  <c:v>591</c:v>
                </c:pt>
                <c:pt idx="15">
                  <c:v>592</c:v>
                </c:pt>
                <c:pt idx="16">
                  <c:v>612</c:v>
                </c:pt>
                <c:pt idx="17">
                  <c:v>618</c:v>
                </c:pt>
                <c:pt idx="18">
                  <c:v>618</c:v>
                </c:pt>
                <c:pt idx="19">
                  <c:v>628.5</c:v>
                </c:pt>
                <c:pt idx="20">
                  <c:v>676</c:v>
                </c:pt>
                <c:pt idx="21">
                  <c:v>676</c:v>
                </c:pt>
                <c:pt idx="22">
                  <c:v>683</c:v>
                </c:pt>
                <c:pt idx="23">
                  <c:v>714.5</c:v>
                </c:pt>
                <c:pt idx="24">
                  <c:v>724</c:v>
                </c:pt>
                <c:pt idx="25">
                  <c:v>731</c:v>
                </c:pt>
                <c:pt idx="26">
                  <c:v>732</c:v>
                </c:pt>
                <c:pt idx="27">
                  <c:v>937</c:v>
                </c:pt>
                <c:pt idx="28">
                  <c:v>951</c:v>
                </c:pt>
                <c:pt idx="29">
                  <c:v>5226</c:v>
                </c:pt>
                <c:pt idx="30">
                  <c:v>5308</c:v>
                </c:pt>
                <c:pt idx="31">
                  <c:v>5308.5</c:v>
                </c:pt>
                <c:pt idx="32">
                  <c:v>5977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84-4F24-9EE0-E1878353CB60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-571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16.5</c:v>
                </c:pt>
                <c:pt idx="5">
                  <c:v>20</c:v>
                </c:pt>
                <c:pt idx="6">
                  <c:v>467.5</c:v>
                </c:pt>
                <c:pt idx="7">
                  <c:v>471</c:v>
                </c:pt>
                <c:pt idx="8">
                  <c:v>477</c:v>
                </c:pt>
                <c:pt idx="9">
                  <c:v>495.5</c:v>
                </c:pt>
                <c:pt idx="10">
                  <c:v>584</c:v>
                </c:pt>
                <c:pt idx="11">
                  <c:v>584</c:v>
                </c:pt>
                <c:pt idx="12">
                  <c:v>590</c:v>
                </c:pt>
                <c:pt idx="13">
                  <c:v>590</c:v>
                </c:pt>
                <c:pt idx="14">
                  <c:v>591</c:v>
                </c:pt>
                <c:pt idx="15">
                  <c:v>592</c:v>
                </c:pt>
                <c:pt idx="16">
                  <c:v>612</c:v>
                </c:pt>
                <c:pt idx="17">
                  <c:v>618</c:v>
                </c:pt>
                <c:pt idx="18">
                  <c:v>618</c:v>
                </c:pt>
                <c:pt idx="19">
                  <c:v>628.5</c:v>
                </c:pt>
                <c:pt idx="20">
                  <c:v>676</c:v>
                </c:pt>
                <c:pt idx="21">
                  <c:v>676</c:v>
                </c:pt>
                <c:pt idx="22">
                  <c:v>683</c:v>
                </c:pt>
                <c:pt idx="23">
                  <c:v>714.5</c:v>
                </c:pt>
                <c:pt idx="24">
                  <c:v>724</c:v>
                </c:pt>
                <c:pt idx="25">
                  <c:v>731</c:v>
                </c:pt>
                <c:pt idx="26">
                  <c:v>732</c:v>
                </c:pt>
                <c:pt idx="27">
                  <c:v>937</c:v>
                </c:pt>
                <c:pt idx="28">
                  <c:v>951</c:v>
                </c:pt>
                <c:pt idx="29">
                  <c:v>5226</c:v>
                </c:pt>
                <c:pt idx="30">
                  <c:v>5308</c:v>
                </c:pt>
                <c:pt idx="31">
                  <c:v>5308.5</c:v>
                </c:pt>
                <c:pt idx="32">
                  <c:v>5977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0">
                  <c:v>2.4869666995073203E-2</c:v>
                </c:pt>
                <c:pt idx="2">
                  <c:v>1.7999999996391125E-2</c:v>
                </c:pt>
                <c:pt idx="3">
                  <c:v>-9.1054215998155996E-2</c:v>
                </c:pt>
                <c:pt idx="4">
                  <c:v>-1.2111820498830639E-2</c:v>
                </c:pt>
                <c:pt idx="5">
                  <c:v>-7.1355399995809421E-3</c:v>
                </c:pt>
                <c:pt idx="6">
                  <c:v>-4.0168247498513665E-2</c:v>
                </c:pt>
                <c:pt idx="7">
                  <c:v>-4.719196700170869E-2</c:v>
                </c:pt>
                <c:pt idx="8">
                  <c:v>9.0767371002584696E-2</c:v>
                </c:pt>
                <c:pt idx="9">
                  <c:v>-3.6358003497298341E-2</c:v>
                </c:pt>
                <c:pt idx="10">
                  <c:v>1.404223199642729E-2</c:v>
                </c:pt>
                <c:pt idx="11">
                  <c:v>4.2042232002131641E-2</c:v>
                </c:pt>
                <c:pt idx="12">
                  <c:v>5.4001569995307364E-2</c:v>
                </c:pt>
                <c:pt idx="13">
                  <c:v>5.6001569995714817E-2</c:v>
                </c:pt>
                <c:pt idx="14">
                  <c:v>-2.4005207000300288E-2</c:v>
                </c:pt>
                <c:pt idx="15">
                  <c:v>-0.15201198400609428</c:v>
                </c:pt>
                <c:pt idx="16">
                  <c:v>-7.014752400573343E-2</c:v>
                </c:pt>
                <c:pt idx="17">
                  <c:v>-4.2188186002022121E-2</c:v>
                </c:pt>
                <c:pt idx="18">
                  <c:v>-7.1881860058056191E-3</c:v>
                </c:pt>
                <c:pt idx="19">
                  <c:v>-3.3259344498219434E-2</c:v>
                </c:pt>
                <c:pt idx="20">
                  <c:v>-6.8581252002331894E-2</c:v>
                </c:pt>
                <c:pt idx="21">
                  <c:v>2.6418747998832259E-2</c:v>
                </c:pt>
                <c:pt idx="22">
                  <c:v>-0.10262869099824456</c:v>
                </c:pt>
                <c:pt idx="23">
                  <c:v>-6.5842166499351151E-2</c:v>
                </c:pt>
                <c:pt idx="24">
                  <c:v>-6.4906548002909403E-2</c:v>
                </c:pt>
                <c:pt idx="25">
                  <c:v>-9.8953986998822074E-2</c:v>
                </c:pt>
                <c:pt idx="26">
                  <c:v>-0.21296076400176389</c:v>
                </c:pt>
                <c:pt idx="27">
                  <c:v>-0.16635004900308559</c:v>
                </c:pt>
                <c:pt idx="28">
                  <c:v>-7.044492699787952E-2</c:v>
                </c:pt>
                <c:pt idx="29">
                  <c:v>-0.16441660200507613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84-4F24-9EE0-E1878353CB60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-571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16.5</c:v>
                </c:pt>
                <c:pt idx="5">
                  <c:v>20</c:v>
                </c:pt>
                <c:pt idx="6">
                  <c:v>467.5</c:v>
                </c:pt>
                <c:pt idx="7">
                  <c:v>471</c:v>
                </c:pt>
                <c:pt idx="8">
                  <c:v>477</c:v>
                </c:pt>
                <c:pt idx="9">
                  <c:v>495.5</c:v>
                </c:pt>
                <c:pt idx="10">
                  <c:v>584</c:v>
                </c:pt>
                <c:pt idx="11">
                  <c:v>584</c:v>
                </c:pt>
                <c:pt idx="12">
                  <c:v>590</c:v>
                </c:pt>
                <c:pt idx="13">
                  <c:v>590</c:v>
                </c:pt>
                <c:pt idx="14">
                  <c:v>591</c:v>
                </c:pt>
                <c:pt idx="15">
                  <c:v>592</c:v>
                </c:pt>
                <c:pt idx="16">
                  <c:v>612</c:v>
                </c:pt>
                <c:pt idx="17">
                  <c:v>618</c:v>
                </c:pt>
                <c:pt idx="18">
                  <c:v>618</c:v>
                </c:pt>
                <c:pt idx="19">
                  <c:v>628.5</c:v>
                </c:pt>
                <c:pt idx="20">
                  <c:v>676</c:v>
                </c:pt>
                <c:pt idx="21">
                  <c:v>676</c:v>
                </c:pt>
                <c:pt idx="22">
                  <c:v>683</c:v>
                </c:pt>
                <c:pt idx="23">
                  <c:v>714.5</c:v>
                </c:pt>
                <c:pt idx="24">
                  <c:v>724</c:v>
                </c:pt>
                <c:pt idx="25">
                  <c:v>731</c:v>
                </c:pt>
                <c:pt idx="26">
                  <c:v>732</c:v>
                </c:pt>
                <c:pt idx="27">
                  <c:v>937</c:v>
                </c:pt>
                <c:pt idx="28">
                  <c:v>951</c:v>
                </c:pt>
                <c:pt idx="29">
                  <c:v>5226</c:v>
                </c:pt>
                <c:pt idx="30">
                  <c:v>5308</c:v>
                </c:pt>
                <c:pt idx="31">
                  <c:v>5308.5</c:v>
                </c:pt>
                <c:pt idx="32">
                  <c:v>5977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84-4F24-9EE0-E1878353CB60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-571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16.5</c:v>
                </c:pt>
                <c:pt idx="5">
                  <c:v>20</c:v>
                </c:pt>
                <c:pt idx="6">
                  <c:v>467.5</c:v>
                </c:pt>
                <c:pt idx="7">
                  <c:v>471</c:v>
                </c:pt>
                <c:pt idx="8">
                  <c:v>477</c:v>
                </c:pt>
                <c:pt idx="9">
                  <c:v>495.5</c:v>
                </c:pt>
                <c:pt idx="10">
                  <c:v>584</c:v>
                </c:pt>
                <c:pt idx="11">
                  <c:v>584</c:v>
                </c:pt>
                <c:pt idx="12">
                  <c:v>590</c:v>
                </c:pt>
                <c:pt idx="13">
                  <c:v>590</c:v>
                </c:pt>
                <c:pt idx="14">
                  <c:v>591</c:v>
                </c:pt>
                <c:pt idx="15">
                  <c:v>592</c:v>
                </c:pt>
                <c:pt idx="16">
                  <c:v>612</c:v>
                </c:pt>
                <c:pt idx="17">
                  <c:v>618</c:v>
                </c:pt>
                <c:pt idx="18">
                  <c:v>618</c:v>
                </c:pt>
                <c:pt idx="19">
                  <c:v>628.5</c:v>
                </c:pt>
                <c:pt idx="20">
                  <c:v>676</c:v>
                </c:pt>
                <c:pt idx="21">
                  <c:v>676</c:v>
                </c:pt>
                <c:pt idx="22">
                  <c:v>683</c:v>
                </c:pt>
                <c:pt idx="23">
                  <c:v>714.5</c:v>
                </c:pt>
                <c:pt idx="24">
                  <c:v>724</c:v>
                </c:pt>
                <c:pt idx="25">
                  <c:v>731</c:v>
                </c:pt>
                <c:pt idx="26">
                  <c:v>732</c:v>
                </c:pt>
                <c:pt idx="27">
                  <c:v>937</c:v>
                </c:pt>
                <c:pt idx="28">
                  <c:v>951</c:v>
                </c:pt>
                <c:pt idx="29">
                  <c:v>5226</c:v>
                </c:pt>
                <c:pt idx="30">
                  <c:v>5308</c:v>
                </c:pt>
                <c:pt idx="31">
                  <c:v>5308.5</c:v>
                </c:pt>
                <c:pt idx="32">
                  <c:v>5977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30">
                  <c:v>5.2427683993300889E-2</c:v>
                </c:pt>
                <c:pt idx="31">
                  <c:v>5.2624295494752005E-2</c:v>
                </c:pt>
                <c:pt idx="32">
                  <c:v>0.34259387100610184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84-4F24-9EE0-E1878353CB60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-571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16.5</c:v>
                </c:pt>
                <c:pt idx="5">
                  <c:v>20</c:v>
                </c:pt>
                <c:pt idx="6">
                  <c:v>467.5</c:v>
                </c:pt>
                <c:pt idx="7">
                  <c:v>471</c:v>
                </c:pt>
                <c:pt idx="8">
                  <c:v>477</c:v>
                </c:pt>
                <c:pt idx="9">
                  <c:v>495.5</c:v>
                </c:pt>
                <c:pt idx="10">
                  <c:v>584</c:v>
                </c:pt>
                <c:pt idx="11">
                  <c:v>584</c:v>
                </c:pt>
                <c:pt idx="12">
                  <c:v>590</c:v>
                </c:pt>
                <c:pt idx="13">
                  <c:v>590</c:v>
                </c:pt>
                <c:pt idx="14">
                  <c:v>591</c:v>
                </c:pt>
                <c:pt idx="15">
                  <c:v>592</c:v>
                </c:pt>
                <c:pt idx="16">
                  <c:v>612</c:v>
                </c:pt>
                <c:pt idx="17">
                  <c:v>618</c:v>
                </c:pt>
                <c:pt idx="18">
                  <c:v>618</c:v>
                </c:pt>
                <c:pt idx="19">
                  <c:v>628.5</c:v>
                </c:pt>
                <c:pt idx="20">
                  <c:v>676</c:v>
                </c:pt>
                <c:pt idx="21">
                  <c:v>676</c:v>
                </c:pt>
                <c:pt idx="22">
                  <c:v>683</c:v>
                </c:pt>
                <c:pt idx="23">
                  <c:v>714.5</c:v>
                </c:pt>
                <c:pt idx="24">
                  <c:v>724</c:v>
                </c:pt>
                <c:pt idx="25">
                  <c:v>731</c:v>
                </c:pt>
                <c:pt idx="26">
                  <c:v>732</c:v>
                </c:pt>
                <c:pt idx="27">
                  <c:v>937</c:v>
                </c:pt>
                <c:pt idx="28">
                  <c:v>951</c:v>
                </c:pt>
                <c:pt idx="29">
                  <c:v>5226</c:v>
                </c:pt>
                <c:pt idx="30">
                  <c:v>5308</c:v>
                </c:pt>
                <c:pt idx="31">
                  <c:v>5308.5</c:v>
                </c:pt>
                <c:pt idx="32">
                  <c:v>5977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84-4F24-9EE0-E1878353CB60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-571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16.5</c:v>
                </c:pt>
                <c:pt idx="5">
                  <c:v>20</c:v>
                </c:pt>
                <c:pt idx="6">
                  <c:v>467.5</c:v>
                </c:pt>
                <c:pt idx="7">
                  <c:v>471</c:v>
                </c:pt>
                <c:pt idx="8">
                  <c:v>477</c:v>
                </c:pt>
                <c:pt idx="9">
                  <c:v>495.5</c:v>
                </c:pt>
                <c:pt idx="10">
                  <c:v>584</c:v>
                </c:pt>
                <c:pt idx="11">
                  <c:v>584</c:v>
                </c:pt>
                <c:pt idx="12">
                  <c:v>590</c:v>
                </c:pt>
                <c:pt idx="13">
                  <c:v>590</c:v>
                </c:pt>
                <c:pt idx="14">
                  <c:v>591</c:v>
                </c:pt>
                <c:pt idx="15">
                  <c:v>592</c:v>
                </c:pt>
                <c:pt idx="16">
                  <c:v>612</c:v>
                </c:pt>
                <c:pt idx="17">
                  <c:v>618</c:v>
                </c:pt>
                <c:pt idx="18">
                  <c:v>618</c:v>
                </c:pt>
                <c:pt idx="19">
                  <c:v>628.5</c:v>
                </c:pt>
                <c:pt idx="20">
                  <c:v>676</c:v>
                </c:pt>
                <c:pt idx="21">
                  <c:v>676</c:v>
                </c:pt>
                <c:pt idx="22">
                  <c:v>683</c:v>
                </c:pt>
                <c:pt idx="23">
                  <c:v>714.5</c:v>
                </c:pt>
                <c:pt idx="24">
                  <c:v>724</c:v>
                </c:pt>
                <c:pt idx="25">
                  <c:v>731</c:v>
                </c:pt>
                <c:pt idx="26">
                  <c:v>732</c:v>
                </c:pt>
                <c:pt idx="27">
                  <c:v>937</c:v>
                </c:pt>
                <c:pt idx="28">
                  <c:v>951</c:v>
                </c:pt>
                <c:pt idx="29">
                  <c:v>5226</c:v>
                </c:pt>
                <c:pt idx="30">
                  <c:v>5308</c:v>
                </c:pt>
                <c:pt idx="31">
                  <c:v>5308.5</c:v>
                </c:pt>
                <c:pt idx="32">
                  <c:v>5977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84-4F24-9EE0-E1878353CB60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-571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16.5</c:v>
                </c:pt>
                <c:pt idx="5">
                  <c:v>20</c:v>
                </c:pt>
                <c:pt idx="6">
                  <c:v>467.5</c:v>
                </c:pt>
                <c:pt idx="7">
                  <c:v>471</c:v>
                </c:pt>
                <c:pt idx="8">
                  <c:v>477</c:v>
                </c:pt>
                <c:pt idx="9">
                  <c:v>495.5</c:v>
                </c:pt>
                <c:pt idx="10">
                  <c:v>584</c:v>
                </c:pt>
                <c:pt idx="11">
                  <c:v>584</c:v>
                </c:pt>
                <c:pt idx="12">
                  <c:v>590</c:v>
                </c:pt>
                <c:pt idx="13">
                  <c:v>590</c:v>
                </c:pt>
                <c:pt idx="14">
                  <c:v>591</c:v>
                </c:pt>
                <c:pt idx="15">
                  <c:v>592</c:v>
                </c:pt>
                <c:pt idx="16">
                  <c:v>612</c:v>
                </c:pt>
                <c:pt idx="17">
                  <c:v>618</c:v>
                </c:pt>
                <c:pt idx="18">
                  <c:v>618</c:v>
                </c:pt>
                <c:pt idx="19">
                  <c:v>628.5</c:v>
                </c:pt>
                <c:pt idx="20">
                  <c:v>676</c:v>
                </c:pt>
                <c:pt idx="21">
                  <c:v>676</c:v>
                </c:pt>
                <c:pt idx="22">
                  <c:v>683</c:v>
                </c:pt>
                <c:pt idx="23">
                  <c:v>714.5</c:v>
                </c:pt>
                <c:pt idx="24">
                  <c:v>724</c:v>
                </c:pt>
                <c:pt idx="25">
                  <c:v>731</c:v>
                </c:pt>
                <c:pt idx="26">
                  <c:v>732</c:v>
                </c:pt>
                <c:pt idx="27">
                  <c:v>937</c:v>
                </c:pt>
                <c:pt idx="28">
                  <c:v>951</c:v>
                </c:pt>
                <c:pt idx="29">
                  <c:v>5226</c:v>
                </c:pt>
                <c:pt idx="30">
                  <c:v>5308</c:v>
                </c:pt>
                <c:pt idx="31">
                  <c:v>5308.5</c:v>
                </c:pt>
                <c:pt idx="32">
                  <c:v>5977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84-4F24-9EE0-E1878353CB60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-571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16.5</c:v>
                </c:pt>
                <c:pt idx="5">
                  <c:v>20</c:v>
                </c:pt>
                <c:pt idx="6">
                  <c:v>467.5</c:v>
                </c:pt>
                <c:pt idx="7">
                  <c:v>471</c:v>
                </c:pt>
                <c:pt idx="8">
                  <c:v>477</c:v>
                </c:pt>
                <c:pt idx="9">
                  <c:v>495.5</c:v>
                </c:pt>
                <c:pt idx="10">
                  <c:v>584</c:v>
                </c:pt>
                <c:pt idx="11">
                  <c:v>584</c:v>
                </c:pt>
                <c:pt idx="12">
                  <c:v>590</c:v>
                </c:pt>
                <c:pt idx="13">
                  <c:v>590</c:v>
                </c:pt>
                <c:pt idx="14">
                  <c:v>591</c:v>
                </c:pt>
                <c:pt idx="15">
                  <c:v>592</c:v>
                </c:pt>
                <c:pt idx="16">
                  <c:v>612</c:v>
                </c:pt>
                <c:pt idx="17">
                  <c:v>618</c:v>
                </c:pt>
                <c:pt idx="18">
                  <c:v>618</c:v>
                </c:pt>
                <c:pt idx="19">
                  <c:v>628.5</c:v>
                </c:pt>
                <c:pt idx="20">
                  <c:v>676</c:v>
                </c:pt>
                <c:pt idx="21">
                  <c:v>676</c:v>
                </c:pt>
                <c:pt idx="22">
                  <c:v>683</c:v>
                </c:pt>
                <c:pt idx="23">
                  <c:v>714.5</c:v>
                </c:pt>
                <c:pt idx="24">
                  <c:v>724</c:v>
                </c:pt>
                <c:pt idx="25">
                  <c:v>731</c:v>
                </c:pt>
                <c:pt idx="26">
                  <c:v>732</c:v>
                </c:pt>
                <c:pt idx="27">
                  <c:v>937</c:v>
                </c:pt>
                <c:pt idx="28">
                  <c:v>951</c:v>
                </c:pt>
                <c:pt idx="29">
                  <c:v>5226</c:v>
                </c:pt>
                <c:pt idx="30">
                  <c:v>5308</c:v>
                </c:pt>
                <c:pt idx="31">
                  <c:v>5308.5</c:v>
                </c:pt>
                <c:pt idx="32">
                  <c:v>5977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-5.8464885819387559E-2</c:v>
                </c:pt>
                <c:pt idx="1">
                  <c:v>-4.675724494661361E-2</c:v>
                </c:pt>
                <c:pt idx="2">
                  <c:v>-4.675724494661361E-2</c:v>
                </c:pt>
                <c:pt idx="3">
                  <c:v>-4.6593214951898741E-2</c:v>
                </c:pt>
                <c:pt idx="4">
                  <c:v>-4.6418933082514185E-2</c:v>
                </c:pt>
                <c:pt idx="5">
                  <c:v>-4.6347169959826434E-2</c:v>
                </c:pt>
                <c:pt idx="6">
                  <c:v>-3.7171742130463307E-2</c:v>
                </c:pt>
                <c:pt idx="7">
                  <c:v>-3.7099979007775556E-2</c:v>
                </c:pt>
                <c:pt idx="8">
                  <c:v>-3.6976956511739399E-2</c:v>
                </c:pt>
                <c:pt idx="9">
                  <c:v>-3.6597637148961262E-2</c:v>
                </c:pt>
                <c:pt idx="10">
                  <c:v>-3.4783055332427995E-2</c:v>
                </c:pt>
                <c:pt idx="11">
                  <c:v>-3.4783055332427995E-2</c:v>
                </c:pt>
                <c:pt idx="12">
                  <c:v>-3.4660032836391838E-2</c:v>
                </c:pt>
                <c:pt idx="13">
                  <c:v>-3.4660032836391838E-2</c:v>
                </c:pt>
                <c:pt idx="14">
                  <c:v>-3.4639529087052479E-2</c:v>
                </c:pt>
                <c:pt idx="15">
                  <c:v>-3.4619025337713119E-2</c:v>
                </c:pt>
                <c:pt idx="16">
                  <c:v>-3.4208950350925943E-2</c:v>
                </c:pt>
                <c:pt idx="17">
                  <c:v>-3.4085927854889793E-2</c:v>
                </c:pt>
                <c:pt idx="18">
                  <c:v>-3.4085927854889793E-2</c:v>
                </c:pt>
                <c:pt idx="19">
                  <c:v>-3.3870638486826518E-2</c:v>
                </c:pt>
                <c:pt idx="20">
                  <c:v>-3.2896710393206977E-2</c:v>
                </c:pt>
                <c:pt idx="21">
                  <c:v>-3.2896710393206977E-2</c:v>
                </c:pt>
                <c:pt idx="22">
                  <c:v>-3.275318414783146E-2</c:v>
                </c:pt>
                <c:pt idx="23">
                  <c:v>-3.2107316043641657E-2</c:v>
                </c:pt>
                <c:pt idx="24">
                  <c:v>-3.1912530424917748E-2</c:v>
                </c:pt>
                <c:pt idx="25">
                  <c:v>-3.1769004179542232E-2</c:v>
                </c:pt>
                <c:pt idx="26">
                  <c:v>-3.1748500430202872E-2</c:v>
                </c:pt>
                <c:pt idx="27">
                  <c:v>-2.7545231815634293E-2</c:v>
                </c:pt>
                <c:pt idx="28">
                  <c:v>-2.7258179324883267E-2</c:v>
                </c:pt>
                <c:pt idx="29">
                  <c:v>6.0395349100876169E-2</c:v>
                </c:pt>
                <c:pt idx="30">
                  <c:v>6.2076656546703593E-2</c:v>
                </c:pt>
                <c:pt idx="31">
                  <c:v>6.208690842137328E-2</c:v>
                </c:pt>
                <c:pt idx="32">
                  <c:v>7.5793664854734724E-2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84-4F24-9EE0-E1878353C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6514736"/>
        <c:axId val="1"/>
      </c:scatterChart>
      <c:valAx>
        <c:axId val="336514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6514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9386912257939"/>
          <c:y val="0.9204921861831491"/>
          <c:w val="0.6752832228766234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FH Cep - O-C Diagr.</a:t>
            </a:r>
          </a:p>
        </c:rich>
      </c:tx>
      <c:layout>
        <c:manualLayout>
          <c:xMode val="edge"/>
          <c:yMode val="edge"/>
          <c:x val="0.3764139094891005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678942920199375"/>
          <c:w val="0.8206791611021755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-571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16.5</c:v>
                </c:pt>
                <c:pt idx="5">
                  <c:v>20</c:v>
                </c:pt>
                <c:pt idx="6">
                  <c:v>467.5</c:v>
                </c:pt>
                <c:pt idx="7">
                  <c:v>471</c:v>
                </c:pt>
                <c:pt idx="8">
                  <c:v>477</c:v>
                </c:pt>
                <c:pt idx="9">
                  <c:v>495.5</c:v>
                </c:pt>
                <c:pt idx="10">
                  <c:v>584</c:v>
                </c:pt>
                <c:pt idx="11">
                  <c:v>584</c:v>
                </c:pt>
                <c:pt idx="12">
                  <c:v>590</c:v>
                </c:pt>
                <c:pt idx="13">
                  <c:v>590</c:v>
                </c:pt>
                <c:pt idx="14">
                  <c:v>591</c:v>
                </c:pt>
                <c:pt idx="15">
                  <c:v>592</c:v>
                </c:pt>
                <c:pt idx="16">
                  <c:v>612</c:v>
                </c:pt>
                <c:pt idx="17">
                  <c:v>618</c:v>
                </c:pt>
                <c:pt idx="18">
                  <c:v>618</c:v>
                </c:pt>
                <c:pt idx="19">
                  <c:v>628.5</c:v>
                </c:pt>
                <c:pt idx="20">
                  <c:v>676</c:v>
                </c:pt>
                <c:pt idx="21">
                  <c:v>676</c:v>
                </c:pt>
                <c:pt idx="22">
                  <c:v>683</c:v>
                </c:pt>
                <c:pt idx="23">
                  <c:v>714.5</c:v>
                </c:pt>
                <c:pt idx="24">
                  <c:v>724</c:v>
                </c:pt>
                <c:pt idx="25">
                  <c:v>731</c:v>
                </c:pt>
                <c:pt idx="26">
                  <c:v>732</c:v>
                </c:pt>
                <c:pt idx="27">
                  <c:v>937</c:v>
                </c:pt>
                <c:pt idx="28">
                  <c:v>951</c:v>
                </c:pt>
                <c:pt idx="29">
                  <c:v>5225</c:v>
                </c:pt>
                <c:pt idx="30">
                  <c:v>5307</c:v>
                </c:pt>
                <c:pt idx="31">
                  <c:v>5307.5</c:v>
                </c:pt>
                <c:pt idx="32">
                  <c:v>5976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8B-408A-805A-85C3CC3B76F0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-571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16.5</c:v>
                </c:pt>
                <c:pt idx="5">
                  <c:v>20</c:v>
                </c:pt>
                <c:pt idx="6">
                  <c:v>467.5</c:v>
                </c:pt>
                <c:pt idx="7">
                  <c:v>471</c:v>
                </c:pt>
                <c:pt idx="8">
                  <c:v>477</c:v>
                </c:pt>
                <c:pt idx="9">
                  <c:v>495.5</c:v>
                </c:pt>
                <c:pt idx="10">
                  <c:v>584</c:v>
                </c:pt>
                <c:pt idx="11">
                  <c:v>584</c:v>
                </c:pt>
                <c:pt idx="12">
                  <c:v>590</c:v>
                </c:pt>
                <c:pt idx="13">
                  <c:v>590</c:v>
                </c:pt>
                <c:pt idx="14">
                  <c:v>591</c:v>
                </c:pt>
                <c:pt idx="15">
                  <c:v>592</c:v>
                </c:pt>
                <c:pt idx="16">
                  <c:v>612</c:v>
                </c:pt>
                <c:pt idx="17">
                  <c:v>618</c:v>
                </c:pt>
                <c:pt idx="18">
                  <c:v>618</c:v>
                </c:pt>
                <c:pt idx="19">
                  <c:v>628.5</c:v>
                </c:pt>
                <c:pt idx="20">
                  <c:v>676</c:v>
                </c:pt>
                <c:pt idx="21">
                  <c:v>676</c:v>
                </c:pt>
                <c:pt idx="22">
                  <c:v>683</c:v>
                </c:pt>
                <c:pt idx="23">
                  <c:v>714.5</c:v>
                </c:pt>
                <c:pt idx="24">
                  <c:v>724</c:v>
                </c:pt>
                <c:pt idx="25">
                  <c:v>731</c:v>
                </c:pt>
                <c:pt idx="26">
                  <c:v>732</c:v>
                </c:pt>
                <c:pt idx="27">
                  <c:v>937</c:v>
                </c:pt>
                <c:pt idx="28">
                  <c:v>951</c:v>
                </c:pt>
                <c:pt idx="29">
                  <c:v>5225</c:v>
                </c:pt>
                <c:pt idx="30">
                  <c:v>5307</c:v>
                </c:pt>
                <c:pt idx="31">
                  <c:v>5307.5</c:v>
                </c:pt>
                <c:pt idx="32">
                  <c:v>5976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0">
                  <c:v>2.4869666995073203E-2</c:v>
                </c:pt>
                <c:pt idx="2">
                  <c:v>1.7999999996391125E-2</c:v>
                </c:pt>
                <c:pt idx="3">
                  <c:v>-9.1054215998155996E-2</c:v>
                </c:pt>
                <c:pt idx="4">
                  <c:v>-1.2111820498830639E-2</c:v>
                </c:pt>
                <c:pt idx="5">
                  <c:v>-7.1355399995809421E-3</c:v>
                </c:pt>
                <c:pt idx="6">
                  <c:v>-4.0168247498513665E-2</c:v>
                </c:pt>
                <c:pt idx="7">
                  <c:v>-4.719196700170869E-2</c:v>
                </c:pt>
                <c:pt idx="8">
                  <c:v>9.0767371002584696E-2</c:v>
                </c:pt>
                <c:pt idx="9">
                  <c:v>-3.6358003497298341E-2</c:v>
                </c:pt>
                <c:pt idx="10">
                  <c:v>1.404223199642729E-2</c:v>
                </c:pt>
                <c:pt idx="11">
                  <c:v>4.2042232002131641E-2</c:v>
                </c:pt>
                <c:pt idx="12">
                  <c:v>5.4001569995307364E-2</c:v>
                </c:pt>
                <c:pt idx="13">
                  <c:v>5.6001569995714817E-2</c:v>
                </c:pt>
                <c:pt idx="14">
                  <c:v>-2.4005207000300288E-2</c:v>
                </c:pt>
                <c:pt idx="15">
                  <c:v>-0.15201198400609428</c:v>
                </c:pt>
                <c:pt idx="16">
                  <c:v>-7.014752400573343E-2</c:v>
                </c:pt>
                <c:pt idx="17">
                  <c:v>-4.2188186002022121E-2</c:v>
                </c:pt>
                <c:pt idx="18">
                  <c:v>-7.1881860058056191E-3</c:v>
                </c:pt>
                <c:pt idx="19">
                  <c:v>-3.3259344498219434E-2</c:v>
                </c:pt>
                <c:pt idx="20">
                  <c:v>-6.8581252002331894E-2</c:v>
                </c:pt>
                <c:pt idx="21">
                  <c:v>2.6418747998832259E-2</c:v>
                </c:pt>
                <c:pt idx="22">
                  <c:v>-0.10262869099824456</c:v>
                </c:pt>
                <c:pt idx="23">
                  <c:v>-6.5842166499351151E-2</c:v>
                </c:pt>
                <c:pt idx="24">
                  <c:v>-6.4906548002909403E-2</c:v>
                </c:pt>
                <c:pt idx="25">
                  <c:v>-9.8953986998822074E-2</c:v>
                </c:pt>
                <c:pt idx="26">
                  <c:v>-0.21296076400176389</c:v>
                </c:pt>
                <c:pt idx="27">
                  <c:v>-0.16635004900308559</c:v>
                </c:pt>
                <c:pt idx="28">
                  <c:v>-7.044492699787952E-2</c:v>
                </c:pt>
                <c:pt idx="29">
                  <c:v>2.9775901749962941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8B-408A-805A-85C3CC3B76F0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-571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16.5</c:v>
                </c:pt>
                <c:pt idx="5">
                  <c:v>20</c:v>
                </c:pt>
                <c:pt idx="6">
                  <c:v>467.5</c:v>
                </c:pt>
                <c:pt idx="7">
                  <c:v>471</c:v>
                </c:pt>
                <c:pt idx="8">
                  <c:v>477</c:v>
                </c:pt>
                <c:pt idx="9">
                  <c:v>495.5</c:v>
                </c:pt>
                <c:pt idx="10">
                  <c:v>584</c:v>
                </c:pt>
                <c:pt idx="11">
                  <c:v>584</c:v>
                </c:pt>
                <c:pt idx="12">
                  <c:v>590</c:v>
                </c:pt>
                <c:pt idx="13">
                  <c:v>590</c:v>
                </c:pt>
                <c:pt idx="14">
                  <c:v>591</c:v>
                </c:pt>
                <c:pt idx="15">
                  <c:v>592</c:v>
                </c:pt>
                <c:pt idx="16">
                  <c:v>612</c:v>
                </c:pt>
                <c:pt idx="17">
                  <c:v>618</c:v>
                </c:pt>
                <c:pt idx="18">
                  <c:v>618</c:v>
                </c:pt>
                <c:pt idx="19">
                  <c:v>628.5</c:v>
                </c:pt>
                <c:pt idx="20">
                  <c:v>676</c:v>
                </c:pt>
                <c:pt idx="21">
                  <c:v>676</c:v>
                </c:pt>
                <c:pt idx="22">
                  <c:v>683</c:v>
                </c:pt>
                <c:pt idx="23">
                  <c:v>714.5</c:v>
                </c:pt>
                <c:pt idx="24">
                  <c:v>724</c:v>
                </c:pt>
                <c:pt idx="25">
                  <c:v>731</c:v>
                </c:pt>
                <c:pt idx="26">
                  <c:v>732</c:v>
                </c:pt>
                <c:pt idx="27">
                  <c:v>937</c:v>
                </c:pt>
                <c:pt idx="28">
                  <c:v>951</c:v>
                </c:pt>
                <c:pt idx="29">
                  <c:v>5225</c:v>
                </c:pt>
                <c:pt idx="30">
                  <c:v>5307</c:v>
                </c:pt>
                <c:pt idx="31">
                  <c:v>5307.5</c:v>
                </c:pt>
                <c:pt idx="32">
                  <c:v>5976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8B-408A-805A-85C3CC3B76F0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-571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16.5</c:v>
                </c:pt>
                <c:pt idx="5">
                  <c:v>20</c:v>
                </c:pt>
                <c:pt idx="6">
                  <c:v>467.5</c:v>
                </c:pt>
                <c:pt idx="7">
                  <c:v>471</c:v>
                </c:pt>
                <c:pt idx="8">
                  <c:v>477</c:v>
                </c:pt>
                <c:pt idx="9">
                  <c:v>495.5</c:v>
                </c:pt>
                <c:pt idx="10">
                  <c:v>584</c:v>
                </c:pt>
                <c:pt idx="11">
                  <c:v>584</c:v>
                </c:pt>
                <c:pt idx="12">
                  <c:v>590</c:v>
                </c:pt>
                <c:pt idx="13">
                  <c:v>590</c:v>
                </c:pt>
                <c:pt idx="14">
                  <c:v>591</c:v>
                </c:pt>
                <c:pt idx="15">
                  <c:v>592</c:v>
                </c:pt>
                <c:pt idx="16">
                  <c:v>612</c:v>
                </c:pt>
                <c:pt idx="17">
                  <c:v>618</c:v>
                </c:pt>
                <c:pt idx="18">
                  <c:v>618</c:v>
                </c:pt>
                <c:pt idx="19">
                  <c:v>628.5</c:v>
                </c:pt>
                <c:pt idx="20">
                  <c:v>676</c:v>
                </c:pt>
                <c:pt idx="21">
                  <c:v>676</c:v>
                </c:pt>
                <c:pt idx="22">
                  <c:v>683</c:v>
                </c:pt>
                <c:pt idx="23">
                  <c:v>714.5</c:v>
                </c:pt>
                <c:pt idx="24">
                  <c:v>724</c:v>
                </c:pt>
                <c:pt idx="25">
                  <c:v>731</c:v>
                </c:pt>
                <c:pt idx="26">
                  <c:v>732</c:v>
                </c:pt>
                <c:pt idx="27">
                  <c:v>937</c:v>
                </c:pt>
                <c:pt idx="28">
                  <c:v>951</c:v>
                </c:pt>
                <c:pt idx="29">
                  <c:v>5225</c:v>
                </c:pt>
                <c:pt idx="30">
                  <c:v>5307</c:v>
                </c:pt>
                <c:pt idx="31">
                  <c:v>5307.5</c:v>
                </c:pt>
                <c:pt idx="32">
                  <c:v>5976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30">
                  <c:v>3.1944344610019471</c:v>
                </c:pt>
                <c:pt idx="31">
                  <c:v>3.1946310724961222</c:v>
                </c:pt>
                <c:pt idx="32">
                  <c:v>3.4846006480001961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8B-408A-805A-85C3CC3B76F0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-571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16.5</c:v>
                </c:pt>
                <c:pt idx="5">
                  <c:v>20</c:v>
                </c:pt>
                <c:pt idx="6">
                  <c:v>467.5</c:v>
                </c:pt>
                <c:pt idx="7">
                  <c:v>471</c:v>
                </c:pt>
                <c:pt idx="8">
                  <c:v>477</c:v>
                </c:pt>
                <c:pt idx="9">
                  <c:v>495.5</c:v>
                </c:pt>
                <c:pt idx="10">
                  <c:v>584</c:v>
                </c:pt>
                <c:pt idx="11">
                  <c:v>584</c:v>
                </c:pt>
                <c:pt idx="12">
                  <c:v>590</c:v>
                </c:pt>
                <c:pt idx="13">
                  <c:v>590</c:v>
                </c:pt>
                <c:pt idx="14">
                  <c:v>591</c:v>
                </c:pt>
                <c:pt idx="15">
                  <c:v>592</c:v>
                </c:pt>
                <c:pt idx="16">
                  <c:v>612</c:v>
                </c:pt>
                <c:pt idx="17">
                  <c:v>618</c:v>
                </c:pt>
                <c:pt idx="18">
                  <c:v>618</c:v>
                </c:pt>
                <c:pt idx="19">
                  <c:v>628.5</c:v>
                </c:pt>
                <c:pt idx="20">
                  <c:v>676</c:v>
                </c:pt>
                <c:pt idx="21">
                  <c:v>676</c:v>
                </c:pt>
                <c:pt idx="22">
                  <c:v>683</c:v>
                </c:pt>
                <c:pt idx="23">
                  <c:v>714.5</c:v>
                </c:pt>
                <c:pt idx="24">
                  <c:v>724</c:v>
                </c:pt>
                <c:pt idx="25">
                  <c:v>731</c:v>
                </c:pt>
                <c:pt idx="26">
                  <c:v>732</c:v>
                </c:pt>
                <c:pt idx="27">
                  <c:v>937</c:v>
                </c:pt>
                <c:pt idx="28">
                  <c:v>951</c:v>
                </c:pt>
                <c:pt idx="29">
                  <c:v>5225</c:v>
                </c:pt>
                <c:pt idx="30">
                  <c:v>5307</c:v>
                </c:pt>
                <c:pt idx="31">
                  <c:v>5307.5</c:v>
                </c:pt>
                <c:pt idx="32">
                  <c:v>5976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E8B-408A-805A-85C3CC3B76F0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-571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16.5</c:v>
                </c:pt>
                <c:pt idx="5">
                  <c:v>20</c:v>
                </c:pt>
                <c:pt idx="6">
                  <c:v>467.5</c:v>
                </c:pt>
                <c:pt idx="7">
                  <c:v>471</c:v>
                </c:pt>
                <c:pt idx="8">
                  <c:v>477</c:v>
                </c:pt>
                <c:pt idx="9">
                  <c:v>495.5</c:v>
                </c:pt>
                <c:pt idx="10">
                  <c:v>584</c:v>
                </c:pt>
                <c:pt idx="11">
                  <c:v>584</c:v>
                </c:pt>
                <c:pt idx="12">
                  <c:v>590</c:v>
                </c:pt>
                <c:pt idx="13">
                  <c:v>590</c:v>
                </c:pt>
                <c:pt idx="14">
                  <c:v>591</c:v>
                </c:pt>
                <c:pt idx="15">
                  <c:v>592</c:v>
                </c:pt>
                <c:pt idx="16">
                  <c:v>612</c:v>
                </c:pt>
                <c:pt idx="17">
                  <c:v>618</c:v>
                </c:pt>
                <c:pt idx="18">
                  <c:v>618</c:v>
                </c:pt>
                <c:pt idx="19">
                  <c:v>628.5</c:v>
                </c:pt>
                <c:pt idx="20">
                  <c:v>676</c:v>
                </c:pt>
                <c:pt idx="21">
                  <c:v>676</c:v>
                </c:pt>
                <c:pt idx="22">
                  <c:v>683</c:v>
                </c:pt>
                <c:pt idx="23">
                  <c:v>714.5</c:v>
                </c:pt>
                <c:pt idx="24">
                  <c:v>724</c:v>
                </c:pt>
                <c:pt idx="25">
                  <c:v>731</c:v>
                </c:pt>
                <c:pt idx="26">
                  <c:v>732</c:v>
                </c:pt>
                <c:pt idx="27">
                  <c:v>937</c:v>
                </c:pt>
                <c:pt idx="28">
                  <c:v>951</c:v>
                </c:pt>
                <c:pt idx="29">
                  <c:v>5225</c:v>
                </c:pt>
                <c:pt idx="30">
                  <c:v>5307</c:v>
                </c:pt>
                <c:pt idx="31">
                  <c:v>5307.5</c:v>
                </c:pt>
                <c:pt idx="32">
                  <c:v>5976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E8B-408A-805A-85C3CC3B76F0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1">
                    <c:v>0</c:v>
                  </c:pt>
                  <c:pt idx="3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-571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16.5</c:v>
                </c:pt>
                <c:pt idx="5">
                  <c:v>20</c:v>
                </c:pt>
                <c:pt idx="6">
                  <c:v>467.5</c:v>
                </c:pt>
                <c:pt idx="7">
                  <c:v>471</c:v>
                </c:pt>
                <c:pt idx="8">
                  <c:v>477</c:v>
                </c:pt>
                <c:pt idx="9">
                  <c:v>495.5</c:v>
                </c:pt>
                <c:pt idx="10">
                  <c:v>584</c:v>
                </c:pt>
                <c:pt idx="11">
                  <c:v>584</c:v>
                </c:pt>
                <c:pt idx="12">
                  <c:v>590</c:v>
                </c:pt>
                <c:pt idx="13">
                  <c:v>590</c:v>
                </c:pt>
                <c:pt idx="14">
                  <c:v>591</c:v>
                </c:pt>
                <c:pt idx="15">
                  <c:v>592</c:v>
                </c:pt>
                <c:pt idx="16">
                  <c:v>612</c:v>
                </c:pt>
                <c:pt idx="17">
                  <c:v>618</c:v>
                </c:pt>
                <c:pt idx="18">
                  <c:v>618</c:v>
                </c:pt>
                <c:pt idx="19">
                  <c:v>628.5</c:v>
                </c:pt>
                <c:pt idx="20">
                  <c:v>676</c:v>
                </c:pt>
                <c:pt idx="21">
                  <c:v>676</c:v>
                </c:pt>
                <c:pt idx="22">
                  <c:v>683</c:v>
                </c:pt>
                <c:pt idx="23">
                  <c:v>714.5</c:v>
                </c:pt>
                <c:pt idx="24">
                  <c:v>724</c:v>
                </c:pt>
                <c:pt idx="25">
                  <c:v>731</c:v>
                </c:pt>
                <c:pt idx="26">
                  <c:v>732</c:v>
                </c:pt>
                <c:pt idx="27">
                  <c:v>937</c:v>
                </c:pt>
                <c:pt idx="28">
                  <c:v>951</c:v>
                </c:pt>
                <c:pt idx="29">
                  <c:v>5225</c:v>
                </c:pt>
                <c:pt idx="30">
                  <c:v>5307</c:v>
                </c:pt>
                <c:pt idx="31">
                  <c:v>5307.5</c:v>
                </c:pt>
                <c:pt idx="32">
                  <c:v>5976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E8B-408A-805A-85C3CC3B76F0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-571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16.5</c:v>
                </c:pt>
                <c:pt idx="5">
                  <c:v>20</c:v>
                </c:pt>
                <c:pt idx="6">
                  <c:v>467.5</c:v>
                </c:pt>
                <c:pt idx="7">
                  <c:v>471</c:v>
                </c:pt>
                <c:pt idx="8">
                  <c:v>477</c:v>
                </c:pt>
                <c:pt idx="9">
                  <c:v>495.5</c:v>
                </c:pt>
                <c:pt idx="10">
                  <c:v>584</c:v>
                </c:pt>
                <c:pt idx="11">
                  <c:v>584</c:v>
                </c:pt>
                <c:pt idx="12">
                  <c:v>590</c:v>
                </c:pt>
                <c:pt idx="13">
                  <c:v>590</c:v>
                </c:pt>
                <c:pt idx="14">
                  <c:v>591</c:v>
                </c:pt>
                <c:pt idx="15">
                  <c:v>592</c:v>
                </c:pt>
                <c:pt idx="16">
                  <c:v>612</c:v>
                </c:pt>
                <c:pt idx="17">
                  <c:v>618</c:v>
                </c:pt>
                <c:pt idx="18">
                  <c:v>618</c:v>
                </c:pt>
                <c:pt idx="19">
                  <c:v>628.5</c:v>
                </c:pt>
                <c:pt idx="20">
                  <c:v>676</c:v>
                </c:pt>
                <c:pt idx="21">
                  <c:v>676</c:v>
                </c:pt>
                <c:pt idx="22">
                  <c:v>683</c:v>
                </c:pt>
                <c:pt idx="23">
                  <c:v>714.5</c:v>
                </c:pt>
                <c:pt idx="24">
                  <c:v>724</c:v>
                </c:pt>
                <c:pt idx="25">
                  <c:v>731</c:v>
                </c:pt>
                <c:pt idx="26">
                  <c:v>732</c:v>
                </c:pt>
                <c:pt idx="27">
                  <c:v>937</c:v>
                </c:pt>
                <c:pt idx="28">
                  <c:v>951</c:v>
                </c:pt>
                <c:pt idx="29">
                  <c:v>5225</c:v>
                </c:pt>
                <c:pt idx="30">
                  <c:v>5307</c:v>
                </c:pt>
                <c:pt idx="31">
                  <c:v>5307.5</c:v>
                </c:pt>
                <c:pt idx="32">
                  <c:v>5976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-0.68913701685266227</c:v>
                </c:pt>
                <c:pt idx="1">
                  <c:v>-0.33009187667611406</c:v>
                </c:pt>
                <c:pt idx="2">
                  <c:v>-0.33009187667611406</c:v>
                </c:pt>
                <c:pt idx="3">
                  <c:v>-0.32506147191006785</c:v>
                </c:pt>
                <c:pt idx="4">
                  <c:v>-0.31971666684614375</c:v>
                </c:pt>
                <c:pt idx="5">
                  <c:v>-0.31751586476099852</c:v>
                </c:pt>
                <c:pt idx="6">
                  <c:v>-3.6127598160288654E-2</c:v>
                </c:pt>
                <c:pt idx="7">
                  <c:v>-3.3926796075143428E-2</c:v>
                </c:pt>
                <c:pt idx="8">
                  <c:v>-3.0153992500608739E-2</c:v>
                </c:pt>
                <c:pt idx="9">
                  <c:v>-1.8521181479126902E-2</c:v>
                </c:pt>
                <c:pt idx="10">
                  <c:v>3.7127671245259286E-2</c:v>
                </c:pt>
                <c:pt idx="11">
                  <c:v>3.7127671245259286E-2</c:v>
                </c:pt>
                <c:pt idx="12">
                  <c:v>4.0900474819793975E-2</c:v>
                </c:pt>
                <c:pt idx="13">
                  <c:v>4.0900474819793975E-2</c:v>
                </c:pt>
                <c:pt idx="14">
                  <c:v>4.1529275415549738E-2</c:v>
                </c:pt>
                <c:pt idx="15">
                  <c:v>4.2158076011305501E-2</c:v>
                </c:pt>
                <c:pt idx="16">
                  <c:v>5.4734087926421038E-2</c:v>
                </c:pt>
                <c:pt idx="17">
                  <c:v>5.8506891500955671E-2</c:v>
                </c:pt>
                <c:pt idx="18">
                  <c:v>5.8506891500955671E-2</c:v>
                </c:pt>
                <c:pt idx="19">
                  <c:v>6.5109297756391349E-2</c:v>
                </c:pt>
                <c:pt idx="20">
                  <c:v>9.4977326054790701E-2</c:v>
                </c:pt>
                <c:pt idx="21">
                  <c:v>9.4977326054790701E-2</c:v>
                </c:pt>
                <c:pt idx="22">
                  <c:v>9.9378930225081152E-2</c:v>
                </c:pt>
                <c:pt idx="23">
                  <c:v>0.11918614899138813</c:v>
                </c:pt>
                <c:pt idx="24">
                  <c:v>0.12515975465106799</c:v>
                </c:pt>
                <c:pt idx="25">
                  <c:v>0.12956135882135844</c:v>
                </c:pt>
                <c:pt idx="26">
                  <c:v>0.1301901594171142</c:v>
                </c:pt>
                <c:pt idx="27">
                  <c:v>0.25909428154704839</c:v>
                </c:pt>
                <c:pt idx="28">
                  <c:v>0.26789748988762918</c:v>
                </c:pt>
                <c:pt idx="29">
                  <c:v>2.9553912361478174</c:v>
                </c:pt>
                <c:pt idx="30">
                  <c:v>3.0069528849997909</c:v>
                </c:pt>
                <c:pt idx="31">
                  <c:v>3.0072672852976687</c:v>
                </c:pt>
                <c:pt idx="32">
                  <c:v>3.4276204835604052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E8B-408A-805A-85C3CC3B7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275224"/>
        <c:axId val="1"/>
      </c:scatterChart>
      <c:valAx>
        <c:axId val="716275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275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9386912257939"/>
          <c:y val="0.9204921861831491"/>
          <c:w val="0.6752832228766234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581025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B827AD5-7F28-00A9-0ACE-1B4078865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352425</xdr:colOff>
      <xdr:row>18</xdr:row>
      <xdr:rowOff>38100</xdr:rowOff>
    </xdr:to>
    <xdr:graphicFrame macro="">
      <xdr:nvGraphicFramePr>
        <xdr:cNvPr id="54274" name="Chart 1">
          <a:extLst>
            <a:ext uri="{FF2B5EF4-FFF2-40B4-BE49-F238E27FC236}">
              <a16:creationId xmlns:a16="http://schemas.microsoft.com/office/drawing/2014/main" id="{8239C6E1-D62B-0D13-D60F-002EE444B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onkoly.hu/cgi-bin/IBVS?56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tabSelected="1" workbookViewId="0">
      <pane xSplit="14" ySplit="22" topLeftCell="O39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7.42578125" customWidth="1"/>
    <col min="2" max="2" width="5.140625" customWidth="1"/>
    <col min="3" max="3" width="11.85546875" style="31" customWidth="1"/>
    <col min="4" max="4" width="9.42578125" customWidth="1"/>
    <col min="5" max="5" width="9.140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29</v>
      </c>
      <c r="B1" s="1"/>
    </row>
    <row r="2" spans="1:6" x14ac:dyDescent="0.2">
      <c r="A2" t="s">
        <v>24</v>
      </c>
      <c r="B2" t="s">
        <v>30</v>
      </c>
    </row>
    <row r="3" spans="1:6" ht="13.5" thickBot="1" x14ac:dyDescent="0.25"/>
    <row r="4" spans="1:6" ht="14.25" thickTop="1" thickBot="1" x14ac:dyDescent="0.25">
      <c r="A4" s="7" t="s">
        <v>0</v>
      </c>
      <c r="B4" s="7"/>
      <c r="C4" s="43">
        <v>34599.502</v>
      </c>
      <c r="D4" s="4">
        <v>3.1419640000000002</v>
      </c>
    </row>
    <row r="5" spans="1:6" x14ac:dyDescent="0.2">
      <c r="A5" s="33" t="s">
        <v>145</v>
      </c>
      <c r="B5" s="17"/>
      <c r="C5" s="44">
        <v>-9.5</v>
      </c>
      <c r="D5" s="17" t="s">
        <v>146</v>
      </c>
    </row>
    <row r="6" spans="1:6" x14ac:dyDescent="0.2">
      <c r="A6" s="7" t="s">
        <v>1</v>
      </c>
      <c r="B6" s="7"/>
    </row>
    <row r="7" spans="1:6" x14ac:dyDescent="0.2">
      <c r="A7" t="s">
        <v>2</v>
      </c>
      <c r="C7" s="48">
        <v>34599.502</v>
      </c>
    </row>
    <row r="8" spans="1:6" x14ac:dyDescent="0.2">
      <c r="A8" t="s">
        <v>3</v>
      </c>
      <c r="C8" s="48">
        <v>3.1420067770000002</v>
      </c>
    </row>
    <row r="9" spans="1:6" x14ac:dyDescent="0.2">
      <c r="A9" s="35" t="s">
        <v>147</v>
      </c>
      <c r="B9" s="36">
        <v>21</v>
      </c>
      <c r="C9" s="42" t="str">
        <f>"F"&amp;B9</f>
        <v>F21</v>
      </c>
      <c r="D9" s="37" t="str">
        <f>"G"&amp;B9</f>
        <v>G21</v>
      </c>
    </row>
    <row r="10" spans="1:6" ht="13.5" thickBot="1" x14ac:dyDescent="0.25">
      <c r="C10" s="45" t="s">
        <v>19</v>
      </c>
      <c r="D10" s="6" t="s">
        <v>20</v>
      </c>
    </row>
    <row r="11" spans="1:6" x14ac:dyDescent="0.2">
      <c r="A11" t="s">
        <v>16</v>
      </c>
      <c r="C11" s="42">
        <f ca="1">INTERCEPT(INDIRECT($D$9):G978,INDIRECT($C$9):F978)</f>
        <v>-4.675724494661361E-2</v>
      </c>
      <c r="D11" s="5"/>
    </row>
    <row r="12" spans="1:6" x14ac:dyDescent="0.2">
      <c r="A12" t="s">
        <v>17</v>
      </c>
      <c r="C12" s="42">
        <f ca="1">SLOPE(INDIRECT($D$9):G978,INDIRECT($C$9):F978)</f>
        <v>2.0503749339358931E-5</v>
      </c>
      <c r="D12" s="5"/>
    </row>
    <row r="13" spans="1:6" x14ac:dyDescent="0.2">
      <c r="D13" s="5"/>
    </row>
    <row r="14" spans="1:6" x14ac:dyDescent="0.2">
      <c r="A14" t="s">
        <v>23</v>
      </c>
    </row>
    <row r="15" spans="1:6" x14ac:dyDescent="0.2">
      <c r="A15" s="3" t="s">
        <v>18</v>
      </c>
      <c r="C15" s="46">
        <f ca="1">(C7+C11)+(C8+C12)*INT(MAX(F21:F3533))</f>
        <v>53379.352299793856</v>
      </c>
      <c r="E15" s="38" t="s">
        <v>148</v>
      </c>
      <c r="F15" s="34">
        <v>1</v>
      </c>
    </row>
    <row r="16" spans="1:6" x14ac:dyDescent="0.2">
      <c r="A16" s="7" t="s">
        <v>4</v>
      </c>
      <c r="C16" s="47">
        <f ca="1">+C8+C12</f>
        <v>3.1420272807493395</v>
      </c>
      <c r="E16" s="38" t="s">
        <v>149</v>
      </c>
      <c r="F16" s="39">
        <f ca="1">NOW()+15018.5+$C$5/24</f>
        <v>60332.673508217587</v>
      </c>
    </row>
    <row r="17" spans="1:17" ht="13.5" thickBot="1" x14ac:dyDescent="0.25">
      <c r="A17" s="10" t="s">
        <v>28</v>
      </c>
      <c r="C17" s="31">
        <f>COUNT(C21:C2191)</f>
        <v>33</v>
      </c>
      <c r="E17" s="38" t="s">
        <v>150</v>
      </c>
      <c r="F17" s="39">
        <f ca="1">ROUND(2*(F16-$C$7)/$C$8,0)/2+F15</f>
        <v>8191</v>
      </c>
    </row>
    <row r="18" spans="1:17" ht="14.25" thickTop="1" thickBot="1" x14ac:dyDescent="0.25">
      <c r="A18" s="7" t="s">
        <v>5</v>
      </c>
      <c r="C18" s="43">
        <f ca="1">+C15</f>
        <v>53379.352299793856</v>
      </c>
      <c r="D18" s="4">
        <f ca="1">+C16</f>
        <v>3.1420272807493395</v>
      </c>
      <c r="E18" s="38" t="s">
        <v>151</v>
      </c>
      <c r="F18" s="37">
        <f ca="1">ROUND(2*(F16-$C$15)/$C$16,0)/2+F15</f>
        <v>2214</v>
      </c>
    </row>
    <row r="19" spans="1:17" ht="13.5" thickTop="1" x14ac:dyDescent="0.2">
      <c r="E19" s="38" t="s">
        <v>152</v>
      </c>
      <c r="F19" s="40">
        <f ca="1">+$C$15+$C$16*F18-15018.5-$C$5/24</f>
        <v>45317.696532706228</v>
      </c>
    </row>
    <row r="20" spans="1:17" ht="13.5" thickBot="1" x14ac:dyDescent="0.25">
      <c r="A20" s="6" t="s">
        <v>6</v>
      </c>
      <c r="B20" s="6" t="s">
        <v>7</v>
      </c>
      <c r="C20" s="45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45</v>
      </c>
      <c r="I20" s="9" t="s">
        <v>48</v>
      </c>
      <c r="J20" s="9" t="s">
        <v>42</v>
      </c>
      <c r="K20" s="9" t="s">
        <v>40</v>
      </c>
      <c r="L20" s="9" t="s">
        <v>25</v>
      </c>
      <c r="M20" s="9" t="s">
        <v>26</v>
      </c>
      <c r="N20" s="9" t="s">
        <v>27</v>
      </c>
      <c r="O20" s="9" t="s">
        <v>22</v>
      </c>
      <c r="P20" s="8" t="s">
        <v>21</v>
      </c>
      <c r="Q20" s="6" t="s">
        <v>15</v>
      </c>
    </row>
    <row r="21" spans="1:17" x14ac:dyDescent="0.2">
      <c r="A21" t="s">
        <v>31</v>
      </c>
      <c r="B21" s="5"/>
      <c r="C21" s="31">
        <v>32805.440999999999</v>
      </c>
      <c r="D21" s="50"/>
      <c r="E21">
        <f t="shared" ref="E21:E53" si="0">+(C21-C$7)/C$8</f>
        <v>-570.99208478250887</v>
      </c>
      <c r="F21">
        <f t="shared" ref="F21:F53" si="1">ROUND(2*E21,0)/2</f>
        <v>-571</v>
      </c>
      <c r="G21">
        <f t="shared" ref="G21:G53" si="2">+C21-(C$7+F21*C$8)</f>
        <v>2.4869666995073203E-2</v>
      </c>
      <c r="I21">
        <f>+G21</f>
        <v>2.4869666995073203E-2</v>
      </c>
      <c r="O21">
        <f t="shared" ref="O21:O53" ca="1" si="3">+C$11+C$12*$F21</f>
        <v>-5.8464885819387559E-2</v>
      </c>
      <c r="Q21" s="2">
        <f t="shared" ref="Q21:Q53" si="4">+C21-15018.5</f>
        <v>17786.940999999999</v>
      </c>
    </row>
    <row r="22" spans="1:17" x14ac:dyDescent="0.2">
      <c r="A22" t="s">
        <v>12</v>
      </c>
      <c r="B22" s="5"/>
      <c r="C22" s="31">
        <v>34599.502</v>
      </c>
      <c r="D22" s="50" t="s">
        <v>14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-4.675724494661361E-2</v>
      </c>
      <c r="Q22" s="2">
        <f t="shared" si="4"/>
        <v>19581.002</v>
      </c>
    </row>
    <row r="23" spans="1:17" x14ac:dyDescent="0.2">
      <c r="A23" t="s">
        <v>31</v>
      </c>
      <c r="B23" s="5"/>
      <c r="C23" s="31">
        <v>34599.519999999997</v>
      </c>
      <c r="D23" s="50"/>
      <c r="E23">
        <f t="shared" si="0"/>
        <v>5.7288227791722308E-3</v>
      </c>
      <c r="F23">
        <f t="shared" si="1"/>
        <v>0</v>
      </c>
      <c r="G23">
        <f t="shared" si="2"/>
        <v>1.7999999996391125E-2</v>
      </c>
      <c r="I23">
        <f t="shared" ref="I23:I50" si="5">+G23</f>
        <v>1.7999999996391125E-2</v>
      </c>
      <c r="O23">
        <f t="shared" ca="1" si="3"/>
        <v>-4.675724494661361E-2</v>
      </c>
      <c r="Q23" s="2">
        <f t="shared" si="4"/>
        <v>19581.019999999997</v>
      </c>
    </row>
    <row r="24" spans="1:17" x14ac:dyDescent="0.2">
      <c r="A24" t="s">
        <v>31</v>
      </c>
      <c r="B24" s="5"/>
      <c r="C24" s="31">
        <v>34624.546999999999</v>
      </c>
      <c r="D24" s="50"/>
      <c r="E24">
        <f t="shared" si="0"/>
        <v>7.9710203629513856</v>
      </c>
      <c r="F24">
        <f t="shared" si="1"/>
        <v>8</v>
      </c>
      <c r="G24">
        <f t="shared" si="2"/>
        <v>-9.1054215998155996E-2</v>
      </c>
      <c r="I24">
        <f t="shared" si="5"/>
        <v>-9.1054215998155996E-2</v>
      </c>
      <c r="O24">
        <f t="shared" ca="1" si="3"/>
        <v>-4.6593214951898741E-2</v>
      </c>
      <c r="Q24" s="2">
        <f t="shared" si="4"/>
        <v>19606.046999999999</v>
      </c>
    </row>
    <row r="25" spans="1:17" x14ac:dyDescent="0.2">
      <c r="A25" t="s">
        <v>31</v>
      </c>
      <c r="B25" s="5"/>
      <c r="C25" s="31">
        <v>34651.332999999999</v>
      </c>
      <c r="D25" s="50"/>
      <c r="E25">
        <f t="shared" si="0"/>
        <v>16.496145195933263</v>
      </c>
      <c r="F25">
        <f t="shared" si="1"/>
        <v>16.5</v>
      </c>
      <c r="G25">
        <f t="shared" si="2"/>
        <v>-1.2111820498830639E-2</v>
      </c>
      <c r="I25">
        <f t="shared" si="5"/>
        <v>-1.2111820498830639E-2</v>
      </c>
      <c r="O25">
        <f t="shared" ca="1" si="3"/>
        <v>-4.6418933082514185E-2</v>
      </c>
      <c r="Q25" s="2">
        <f t="shared" si="4"/>
        <v>19632.832999999999</v>
      </c>
    </row>
    <row r="26" spans="1:17" x14ac:dyDescent="0.2">
      <c r="A26" t="s">
        <v>31</v>
      </c>
      <c r="B26" s="5"/>
      <c r="C26" s="31">
        <v>34662.334999999999</v>
      </c>
      <c r="D26" s="50"/>
      <c r="E26">
        <f t="shared" si="0"/>
        <v>19.997728986438375</v>
      </c>
      <c r="F26">
        <f t="shared" si="1"/>
        <v>20</v>
      </c>
      <c r="G26">
        <f t="shared" si="2"/>
        <v>-7.1355399995809421E-3</v>
      </c>
      <c r="I26">
        <f t="shared" si="5"/>
        <v>-7.1355399995809421E-3</v>
      </c>
      <c r="O26">
        <f t="shared" ca="1" si="3"/>
        <v>-4.6347169959826434E-2</v>
      </c>
      <c r="Q26" s="2">
        <f t="shared" si="4"/>
        <v>19643.834999999999</v>
      </c>
    </row>
    <row r="27" spans="1:17" x14ac:dyDescent="0.2">
      <c r="A27" t="s">
        <v>32</v>
      </c>
      <c r="B27" s="5"/>
      <c r="C27" s="31">
        <v>36068.35</v>
      </c>
      <c r="D27" s="50"/>
      <c r="E27">
        <f t="shared" si="0"/>
        <v>467.48721573492583</v>
      </c>
      <c r="F27">
        <f t="shared" si="1"/>
        <v>467.5</v>
      </c>
      <c r="G27">
        <f t="shared" si="2"/>
        <v>-4.0168247498513665E-2</v>
      </c>
      <c r="I27">
        <f t="shared" si="5"/>
        <v>-4.0168247498513665E-2</v>
      </c>
      <c r="O27">
        <f t="shared" ca="1" si="3"/>
        <v>-3.7171742130463307E-2</v>
      </c>
      <c r="Q27" s="2">
        <f t="shared" si="4"/>
        <v>21049.85</v>
      </c>
    </row>
    <row r="28" spans="1:17" x14ac:dyDescent="0.2">
      <c r="A28" t="s">
        <v>32</v>
      </c>
      <c r="B28" s="5"/>
      <c r="C28" s="31">
        <v>36079.339999999997</v>
      </c>
      <c r="D28" s="50"/>
      <c r="E28">
        <f t="shared" si="0"/>
        <v>470.98498031024332</v>
      </c>
      <c r="F28">
        <f t="shared" si="1"/>
        <v>471</v>
      </c>
      <c r="G28">
        <f t="shared" si="2"/>
        <v>-4.719196700170869E-2</v>
      </c>
      <c r="I28">
        <f t="shared" si="5"/>
        <v>-4.719196700170869E-2</v>
      </c>
      <c r="O28">
        <f t="shared" ca="1" si="3"/>
        <v>-3.7099979007775556E-2</v>
      </c>
      <c r="Q28" s="2">
        <f t="shared" si="4"/>
        <v>21060.839999999997</v>
      </c>
    </row>
    <row r="29" spans="1:17" x14ac:dyDescent="0.2">
      <c r="A29" t="s">
        <v>32</v>
      </c>
      <c r="B29" s="5"/>
      <c r="C29" s="31">
        <v>36098.33</v>
      </c>
      <c r="D29" s="50"/>
      <c r="E29">
        <f t="shared" si="0"/>
        <v>477.02888834348346</v>
      </c>
      <c r="F29">
        <f t="shared" si="1"/>
        <v>477</v>
      </c>
      <c r="G29">
        <f t="shared" si="2"/>
        <v>9.0767371002584696E-2</v>
      </c>
      <c r="I29">
        <f t="shared" si="5"/>
        <v>9.0767371002584696E-2</v>
      </c>
      <c r="O29">
        <f t="shared" ca="1" si="3"/>
        <v>-3.6976956511739399E-2</v>
      </c>
      <c r="Q29" s="2">
        <f t="shared" si="4"/>
        <v>21079.83</v>
      </c>
    </row>
    <row r="30" spans="1:17" x14ac:dyDescent="0.2">
      <c r="A30" t="s">
        <v>32</v>
      </c>
      <c r="B30" s="5"/>
      <c r="C30" s="31">
        <v>36156.33</v>
      </c>
      <c r="D30" s="50"/>
      <c r="E30">
        <f t="shared" si="0"/>
        <v>495.4884284134061</v>
      </c>
      <c r="F30">
        <f t="shared" si="1"/>
        <v>495.5</v>
      </c>
      <c r="G30">
        <f t="shared" si="2"/>
        <v>-3.6358003497298341E-2</v>
      </c>
      <c r="I30">
        <f t="shared" si="5"/>
        <v>-3.6358003497298341E-2</v>
      </c>
      <c r="O30">
        <f t="shared" ca="1" si="3"/>
        <v>-3.6597637148961262E-2</v>
      </c>
      <c r="Q30" s="2">
        <f t="shared" si="4"/>
        <v>21137.83</v>
      </c>
    </row>
    <row r="31" spans="1:17" x14ac:dyDescent="0.2">
      <c r="A31" t="s">
        <v>31</v>
      </c>
      <c r="B31" s="5"/>
      <c r="C31" s="31">
        <v>36434.447999999997</v>
      </c>
      <c r="D31" s="50"/>
      <c r="E31">
        <f t="shared" si="0"/>
        <v>584.00446919214141</v>
      </c>
      <c r="F31">
        <f t="shared" si="1"/>
        <v>584</v>
      </c>
      <c r="G31">
        <f t="shared" si="2"/>
        <v>1.404223199642729E-2</v>
      </c>
      <c r="I31">
        <f t="shared" si="5"/>
        <v>1.404223199642729E-2</v>
      </c>
      <c r="O31">
        <f t="shared" ca="1" si="3"/>
        <v>-3.4783055332427995E-2</v>
      </c>
      <c r="Q31" s="2">
        <f t="shared" si="4"/>
        <v>21415.947999999997</v>
      </c>
    </row>
    <row r="32" spans="1:17" x14ac:dyDescent="0.2">
      <c r="A32" t="s">
        <v>31</v>
      </c>
      <c r="B32" s="5"/>
      <c r="C32" s="31">
        <v>36434.476000000002</v>
      </c>
      <c r="D32" s="50"/>
      <c r="E32">
        <f t="shared" si="0"/>
        <v>584.01338069424594</v>
      </c>
      <c r="F32">
        <f t="shared" si="1"/>
        <v>584</v>
      </c>
      <c r="G32">
        <f t="shared" si="2"/>
        <v>4.2042232002131641E-2</v>
      </c>
      <c r="I32">
        <f t="shared" si="5"/>
        <v>4.2042232002131641E-2</v>
      </c>
      <c r="O32">
        <f t="shared" ca="1" si="3"/>
        <v>-3.4783055332427995E-2</v>
      </c>
      <c r="Q32" s="2">
        <f t="shared" si="4"/>
        <v>21415.976000000002</v>
      </c>
    </row>
    <row r="33" spans="1:17" x14ac:dyDescent="0.2">
      <c r="A33" t="s">
        <v>32</v>
      </c>
      <c r="B33" s="5"/>
      <c r="C33" s="31">
        <v>36453.339999999997</v>
      </c>
      <c r="D33" s="50"/>
      <c r="E33">
        <f t="shared" si="0"/>
        <v>590.01718696802038</v>
      </c>
      <c r="F33">
        <f t="shared" si="1"/>
        <v>590</v>
      </c>
      <c r="G33">
        <f t="shared" si="2"/>
        <v>5.4001569995307364E-2</v>
      </c>
      <c r="I33">
        <f t="shared" si="5"/>
        <v>5.4001569995307364E-2</v>
      </c>
      <c r="O33">
        <f t="shared" ca="1" si="3"/>
        <v>-3.4660032836391838E-2</v>
      </c>
      <c r="Q33" s="2">
        <f t="shared" si="4"/>
        <v>21434.839999999997</v>
      </c>
    </row>
    <row r="34" spans="1:17" x14ac:dyDescent="0.2">
      <c r="A34" t="s">
        <v>31</v>
      </c>
      <c r="B34" s="5"/>
      <c r="C34" s="31">
        <v>36453.341999999997</v>
      </c>
      <c r="D34" s="50"/>
      <c r="E34">
        <f t="shared" si="0"/>
        <v>590.01782350388498</v>
      </c>
      <c r="F34">
        <f t="shared" si="1"/>
        <v>590</v>
      </c>
      <c r="G34">
        <f t="shared" si="2"/>
        <v>5.6001569995714817E-2</v>
      </c>
      <c r="I34">
        <f t="shared" si="5"/>
        <v>5.6001569995714817E-2</v>
      </c>
      <c r="O34">
        <f t="shared" ca="1" si="3"/>
        <v>-3.4660032836391838E-2</v>
      </c>
      <c r="Q34" s="2">
        <f t="shared" si="4"/>
        <v>21434.841999999997</v>
      </c>
    </row>
    <row r="35" spans="1:17" x14ac:dyDescent="0.2">
      <c r="A35" t="s">
        <v>31</v>
      </c>
      <c r="B35" s="5"/>
      <c r="C35" s="31">
        <v>36456.404000000002</v>
      </c>
      <c r="D35" s="50"/>
      <c r="E35">
        <f t="shared" si="0"/>
        <v>590.99235991240562</v>
      </c>
      <c r="F35">
        <f t="shared" si="1"/>
        <v>591</v>
      </c>
      <c r="G35">
        <f t="shared" si="2"/>
        <v>-2.4005207000300288E-2</v>
      </c>
      <c r="I35">
        <f t="shared" si="5"/>
        <v>-2.4005207000300288E-2</v>
      </c>
      <c r="O35">
        <f t="shared" ca="1" si="3"/>
        <v>-3.4639529087052479E-2</v>
      </c>
      <c r="Q35" s="2">
        <f t="shared" si="4"/>
        <v>21437.904000000002</v>
      </c>
    </row>
    <row r="36" spans="1:17" x14ac:dyDescent="0.2">
      <c r="A36" t="s">
        <v>31</v>
      </c>
      <c r="B36" s="5"/>
      <c r="C36" s="31">
        <v>36459.417999999998</v>
      </c>
      <c r="D36" s="50"/>
      <c r="E36">
        <f t="shared" si="0"/>
        <v>591.95161946017572</v>
      </c>
      <c r="F36">
        <f t="shared" si="1"/>
        <v>592</v>
      </c>
      <c r="G36">
        <f t="shared" si="2"/>
        <v>-0.15201198400609428</v>
      </c>
      <c r="I36">
        <f t="shared" si="5"/>
        <v>-0.15201198400609428</v>
      </c>
      <c r="O36">
        <f t="shared" ca="1" si="3"/>
        <v>-3.4619025337713119E-2</v>
      </c>
      <c r="Q36" s="2">
        <f t="shared" si="4"/>
        <v>21440.917999999998</v>
      </c>
    </row>
    <row r="37" spans="1:17" x14ac:dyDescent="0.2">
      <c r="A37" t="s">
        <v>32</v>
      </c>
      <c r="B37" s="5"/>
      <c r="C37" s="31">
        <v>36522.339999999997</v>
      </c>
      <c r="D37" s="50"/>
      <c r="E37">
        <f t="shared" si="0"/>
        <v>611.97767429258352</v>
      </c>
      <c r="F37">
        <f t="shared" si="1"/>
        <v>612</v>
      </c>
      <c r="G37">
        <f t="shared" si="2"/>
        <v>-7.014752400573343E-2</v>
      </c>
      <c r="I37">
        <f t="shared" si="5"/>
        <v>-7.014752400573343E-2</v>
      </c>
      <c r="O37">
        <f t="shared" ca="1" si="3"/>
        <v>-3.4208950350925943E-2</v>
      </c>
      <c r="Q37" s="2">
        <f t="shared" si="4"/>
        <v>21503.839999999997</v>
      </c>
    </row>
    <row r="38" spans="1:17" x14ac:dyDescent="0.2">
      <c r="A38" t="s">
        <v>32</v>
      </c>
      <c r="B38" s="5"/>
      <c r="C38" s="31">
        <v>36541.22</v>
      </c>
      <c r="D38" s="50"/>
      <c r="E38">
        <f t="shared" si="0"/>
        <v>617.98657285327704</v>
      </c>
      <c r="F38">
        <f t="shared" si="1"/>
        <v>618</v>
      </c>
      <c r="G38">
        <f t="shared" si="2"/>
        <v>-4.2188186002022121E-2</v>
      </c>
      <c r="I38">
        <f t="shared" si="5"/>
        <v>-4.2188186002022121E-2</v>
      </c>
      <c r="O38">
        <f t="shared" ca="1" si="3"/>
        <v>-3.4085927854889793E-2</v>
      </c>
      <c r="Q38" s="2">
        <f t="shared" si="4"/>
        <v>21522.720000000001</v>
      </c>
    </row>
    <row r="39" spans="1:17" x14ac:dyDescent="0.2">
      <c r="A39" t="s">
        <v>31</v>
      </c>
      <c r="B39" s="5"/>
      <c r="C39" s="31">
        <v>36541.254999999997</v>
      </c>
      <c r="D39" s="50"/>
      <c r="E39">
        <f t="shared" si="0"/>
        <v>617.9977122309042</v>
      </c>
      <c r="F39">
        <f t="shared" si="1"/>
        <v>618</v>
      </c>
      <c r="G39">
        <f t="shared" si="2"/>
        <v>-7.1881860058056191E-3</v>
      </c>
      <c r="I39">
        <f t="shared" si="5"/>
        <v>-7.1881860058056191E-3</v>
      </c>
      <c r="O39">
        <f t="shared" ca="1" si="3"/>
        <v>-3.4085927854889793E-2</v>
      </c>
      <c r="Q39" s="2">
        <f t="shared" si="4"/>
        <v>21522.754999999997</v>
      </c>
    </row>
    <row r="40" spans="1:17" x14ac:dyDescent="0.2">
      <c r="A40" t="s">
        <v>32</v>
      </c>
      <c r="B40" s="5"/>
      <c r="C40" s="31">
        <v>36574.22</v>
      </c>
      <c r="D40" s="50"/>
      <c r="E40">
        <f t="shared" si="0"/>
        <v>628.48941461719858</v>
      </c>
      <c r="F40">
        <f t="shared" si="1"/>
        <v>628.5</v>
      </c>
      <c r="G40">
        <f t="shared" si="2"/>
        <v>-3.3259344498219434E-2</v>
      </c>
      <c r="I40">
        <f t="shared" si="5"/>
        <v>-3.3259344498219434E-2</v>
      </c>
      <c r="O40">
        <f t="shared" ca="1" si="3"/>
        <v>-3.3870638486826518E-2</v>
      </c>
      <c r="Q40" s="2">
        <f t="shared" si="4"/>
        <v>21555.72</v>
      </c>
    </row>
    <row r="41" spans="1:17" x14ac:dyDescent="0.2">
      <c r="A41" t="s">
        <v>32</v>
      </c>
      <c r="B41" s="5"/>
      <c r="C41" s="31">
        <v>36723.43</v>
      </c>
      <c r="D41" s="50"/>
      <c r="E41">
        <f t="shared" si="0"/>
        <v>675.9781727867354</v>
      </c>
      <c r="F41">
        <f t="shared" si="1"/>
        <v>676</v>
      </c>
      <c r="G41">
        <f t="shared" si="2"/>
        <v>-6.8581252002331894E-2</v>
      </c>
      <c r="I41">
        <f t="shared" si="5"/>
        <v>-6.8581252002331894E-2</v>
      </c>
      <c r="O41">
        <f t="shared" ca="1" si="3"/>
        <v>-3.2896710393206977E-2</v>
      </c>
      <c r="Q41" s="2">
        <f t="shared" si="4"/>
        <v>21704.93</v>
      </c>
    </row>
    <row r="42" spans="1:17" x14ac:dyDescent="0.2">
      <c r="A42" t="s">
        <v>31</v>
      </c>
      <c r="B42" s="5"/>
      <c r="C42" s="31">
        <v>36723.525000000001</v>
      </c>
      <c r="D42" s="50"/>
      <c r="E42">
        <f t="shared" si="0"/>
        <v>676.00840824029865</v>
      </c>
      <c r="F42">
        <f t="shared" si="1"/>
        <v>676</v>
      </c>
      <c r="G42">
        <f t="shared" si="2"/>
        <v>2.6418747998832259E-2</v>
      </c>
      <c r="I42">
        <f t="shared" si="5"/>
        <v>2.6418747998832259E-2</v>
      </c>
      <c r="O42">
        <f t="shared" ca="1" si="3"/>
        <v>-3.2896710393206977E-2</v>
      </c>
      <c r="Q42" s="2">
        <f t="shared" si="4"/>
        <v>21705.025000000001</v>
      </c>
    </row>
    <row r="43" spans="1:17" x14ac:dyDescent="0.2">
      <c r="A43" t="s">
        <v>32</v>
      </c>
      <c r="B43" s="5"/>
      <c r="C43" s="31">
        <v>36745.39</v>
      </c>
      <c r="D43" s="50"/>
      <c r="E43">
        <f t="shared" si="0"/>
        <v>682.96733657872653</v>
      </c>
      <c r="F43">
        <f t="shared" si="1"/>
        <v>683</v>
      </c>
      <c r="G43">
        <f t="shared" si="2"/>
        <v>-0.10262869099824456</v>
      </c>
      <c r="I43">
        <f t="shared" si="5"/>
        <v>-0.10262869099824456</v>
      </c>
      <c r="O43">
        <f t="shared" ca="1" si="3"/>
        <v>-3.275318414783146E-2</v>
      </c>
      <c r="Q43" s="2">
        <f t="shared" si="4"/>
        <v>21726.89</v>
      </c>
    </row>
    <row r="44" spans="1:17" x14ac:dyDescent="0.2">
      <c r="A44" t="s">
        <v>32</v>
      </c>
      <c r="B44" s="5"/>
      <c r="C44" s="31">
        <v>36844.400000000001</v>
      </c>
      <c r="D44" s="50"/>
      <c r="E44">
        <f t="shared" si="0"/>
        <v>714.47904454981415</v>
      </c>
      <c r="F44">
        <f t="shared" si="1"/>
        <v>714.5</v>
      </c>
      <c r="G44">
        <f t="shared" si="2"/>
        <v>-6.5842166499351151E-2</v>
      </c>
      <c r="I44">
        <f t="shared" si="5"/>
        <v>-6.5842166499351151E-2</v>
      </c>
      <c r="O44">
        <f t="shared" ca="1" si="3"/>
        <v>-3.2107316043641657E-2</v>
      </c>
      <c r="Q44" s="2">
        <f t="shared" si="4"/>
        <v>21825.9</v>
      </c>
    </row>
    <row r="45" spans="1:17" x14ac:dyDescent="0.2">
      <c r="A45" t="s">
        <v>32</v>
      </c>
      <c r="B45" s="5"/>
      <c r="C45" s="31">
        <v>36874.25</v>
      </c>
      <c r="D45" s="50"/>
      <c r="E45">
        <f t="shared" si="0"/>
        <v>723.97934232717898</v>
      </c>
      <c r="F45">
        <f t="shared" si="1"/>
        <v>724</v>
      </c>
      <c r="G45">
        <f t="shared" si="2"/>
        <v>-6.4906548002909403E-2</v>
      </c>
      <c r="I45">
        <f t="shared" si="5"/>
        <v>-6.4906548002909403E-2</v>
      </c>
      <c r="O45">
        <f t="shared" ca="1" si="3"/>
        <v>-3.1912530424917748E-2</v>
      </c>
      <c r="Q45" s="2">
        <f t="shared" si="4"/>
        <v>21855.75</v>
      </c>
    </row>
    <row r="46" spans="1:17" x14ac:dyDescent="0.2">
      <c r="A46" t="s">
        <v>32</v>
      </c>
      <c r="B46" s="5"/>
      <c r="C46" s="31">
        <v>36896.21</v>
      </c>
      <c r="D46" s="50"/>
      <c r="E46">
        <f t="shared" si="0"/>
        <v>730.96850611917012</v>
      </c>
      <c r="F46">
        <f t="shared" si="1"/>
        <v>731</v>
      </c>
      <c r="G46">
        <f t="shared" si="2"/>
        <v>-9.8953986998822074E-2</v>
      </c>
      <c r="I46">
        <f t="shared" si="5"/>
        <v>-9.8953986998822074E-2</v>
      </c>
      <c r="O46">
        <f t="shared" ca="1" si="3"/>
        <v>-3.1769004179542232E-2</v>
      </c>
      <c r="Q46" s="2">
        <f t="shared" si="4"/>
        <v>21877.71</v>
      </c>
    </row>
    <row r="47" spans="1:17" x14ac:dyDescent="0.2">
      <c r="A47" t="s">
        <v>31</v>
      </c>
      <c r="B47" s="5"/>
      <c r="C47" s="31">
        <v>36899.237999999998</v>
      </c>
      <c r="D47" s="50"/>
      <c r="E47">
        <f t="shared" si="0"/>
        <v>731.93222141799254</v>
      </c>
      <c r="F47">
        <f t="shared" si="1"/>
        <v>732</v>
      </c>
      <c r="G47">
        <f t="shared" si="2"/>
        <v>-0.21296076400176389</v>
      </c>
      <c r="I47">
        <f t="shared" si="5"/>
        <v>-0.21296076400176389</v>
      </c>
      <c r="O47">
        <f t="shared" ca="1" si="3"/>
        <v>-3.1748500430202872E-2</v>
      </c>
      <c r="Q47" s="2">
        <f t="shared" si="4"/>
        <v>21880.737999999998</v>
      </c>
    </row>
    <row r="48" spans="1:17" x14ac:dyDescent="0.2">
      <c r="A48" t="s">
        <v>31</v>
      </c>
      <c r="B48" s="5"/>
      <c r="C48" s="31">
        <v>37543.396000000001</v>
      </c>
      <c r="D48" s="50"/>
      <c r="E48">
        <f t="shared" si="0"/>
        <v>936.94705611387678</v>
      </c>
      <c r="F48">
        <f t="shared" si="1"/>
        <v>937</v>
      </c>
      <c r="G48">
        <f t="shared" si="2"/>
        <v>-0.16635004900308559</v>
      </c>
      <c r="I48">
        <f t="shared" si="5"/>
        <v>-0.16635004900308559</v>
      </c>
      <c r="O48">
        <f t="shared" ca="1" si="3"/>
        <v>-2.7545231815634293E-2</v>
      </c>
      <c r="Q48" s="2">
        <f t="shared" si="4"/>
        <v>22524.896000000001</v>
      </c>
    </row>
    <row r="49" spans="1:17" x14ac:dyDescent="0.2">
      <c r="A49" t="s">
        <v>31</v>
      </c>
      <c r="B49" s="5"/>
      <c r="C49" s="31">
        <v>37587.480000000003</v>
      </c>
      <c r="D49" s="50"/>
      <c r="E49">
        <f t="shared" si="0"/>
        <v>950.97757963874778</v>
      </c>
      <c r="F49">
        <f t="shared" si="1"/>
        <v>951</v>
      </c>
      <c r="G49">
        <f t="shared" si="2"/>
        <v>-7.044492699787952E-2</v>
      </c>
      <c r="I49">
        <f t="shared" si="5"/>
        <v>-7.044492699787952E-2</v>
      </c>
      <c r="O49">
        <f t="shared" ca="1" si="3"/>
        <v>-2.7258179324883267E-2</v>
      </c>
      <c r="Q49" s="2">
        <f t="shared" si="4"/>
        <v>22568.980000000003</v>
      </c>
    </row>
    <row r="50" spans="1:17" x14ac:dyDescent="0.2">
      <c r="A50" t="s">
        <v>33</v>
      </c>
      <c r="B50" s="5"/>
      <c r="C50" s="31">
        <v>51019.464999999997</v>
      </c>
      <c r="D50" s="50"/>
      <c r="E50">
        <f t="shared" si="0"/>
        <v>5225.9476714680541</v>
      </c>
      <c r="F50">
        <f t="shared" si="1"/>
        <v>5226</v>
      </c>
      <c r="G50">
        <f t="shared" si="2"/>
        <v>-0.16441660200507613</v>
      </c>
      <c r="I50">
        <f t="shared" si="5"/>
        <v>-0.16441660200507613</v>
      </c>
      <c r="O50">
        <f t="shared" ca="1" si="3"/>
        <v>6.0395349100876169E-2</v>
      </c>
      <c r="Q50" s="2">
        <f t="shared" si="4"/>
        <v>36000.964999999997</v>
      </c>
    </row>
    <row r="51" spans="1:17" x14ac:dyDescent="0.2">
      <c r="A51" t="s">
        <v>34</v>
      </c>
      <c r="B51" s="5" t="s">
        <v>35</v>
      </c>
      <c r="C51" s="31">
        <v>51277.326399999998</v>
      </c>
      <c r="D51" s="50"/>
      <c r="E51">
        <f t="shared" si="0"/>
        <v>5308.0166860505778</v>
      </c>
      <c r="F51">
        <f t="shared" si="1"/>
        <v>5308</v>
      </c>
      <c r="G51">
        <f t="shared" si="2"/>
        <v>5.2427683993300889E-2</v>
      </c>
      <c r="K51">
        <f>+G51</f>
        <v>5.2427683993300889E-2</v>
      </c>
      <c r="O51">
        <f t="shared" ca="1" si="3"/>
        <v>6.2076656546703593E-2</v>
      </c>
      <c r="Q51" s="2">
        <f t="shared" si="4"/>
        <v>36258.826399999998</v>
      </c>
    </row>
    <row r="52" spans="1:17" x14ac:dyDescent="0.2">
      <c r="A52" t="s">
        <v>34</v>
      </c>
      <c r="B52" s="5" t="s">
        <v>36</v>
      </c>
      <c r="C52" s="31">
        <v>51278.897599999997</v>
      </c>
      <c r="D52" s="50"/>
      <c r="E52">
        <f t="shared" si="0"/>
        <v>5308.5167486257133</v>
      </c>
      <c r="F52">
        <f t="shared" si="1"/>
        <v>5308.5</v>
      </c>
      <c r="G52">
        <f t="shared" si="2"/>
        <v>5.2624295494752005E-2</v>
      </c>
      <c r="K52">
        <f>+G52</f>
        <v>5.2624295494752005E-2</v>
      </c>
      <c r="O52">
        <f t="shared" ca="1" si="3"/>
        <v>6.208690842137328E-2</v>
      </c>
      <c r="Q52" s="2">
        <f t="shared" si="4"/>
        <v>36260.397599999997</v>
      </c>
    </row>
    <row r="53" spans="1:17" x14ac:dyDescent="0.2">
      <c r="A53" s="13" t="s">
        <v>37</v>
      </c>
      <c r="B53" s="14" t="s">
        <v>35</v>
      </c>
      <c r="C53" s="32">
        <v>53379.619100000004</v>
      </c>
      <c r="D53" s="15">
        <v>2E-3</v>
      </c>
      <c r="E53">
        <f t="shared" si="0"/>
        <v>5977.1090366429216</v>
      </c>
      <c r="F53">
        <f t="shared" si="1"/>
        <v>5977</v>
      </c>
      <c r="G53">
        <f t="shared" si="2"/>
        <v>0.34259387100610184</v>
      </c>
      <c r="K53">
        <f>+G53</f>
        <v>0.34259387100610184</v>
      </c>
      <c r="O53">
        <f t="shared" ca="1" si="3"/>
        <v>7.5793664854734724E-2</v>
      </c>
      <c r="Q53" s="2">
        <f t="shared" si="4"/>
        <v>38361.119100000004</v>
      </c>
    </row>
    <row r="54" spans="1:17" x14ac:dyDescent="0.2">
      <c r="B54" s="5"/>
      <c r="D54" s="50"/>
    </row>
    <row r="55" spans="1:17" x14ac:dyDescent="0.2">
      <c r="B55" s="5"/>
      <c r="D55" s="50"/>
    </row>
    <row r="56" spans="1:17" x14ac:dyDescent="0.2">
      <c r="B56" s="5"/>
      <c r="D56" s="50"/>
    </row>
    <row r="57" spans="1:17" x14ac:dyDescent="0.2">
      <c r="B57" s="5"/>
      <c r="D57" s="50"/>
    </row>
    <row r="58" spans="1:17" x14ac:dyDescent="0.2">
      <c r="A58" s="12"/>
      <c r="B58" s="5"/>
      <c r="D58" s="50"/>
    </row>
    <row r="59" spans="1:17" x14ac:dyDescent="0.2">
      <c r="B59" s="5"/>
      <c r="D59" s="50"/>
    </row>
    <row r="60" spans="1:17" x14ac:dyDescent="0.2">
      <c r="B60" s="5"/>
      <c r="D60" s="50"/>
    </row>
    <row r="61" spans="1:17" x14ac:dyDescent="0.2">
      <c r="B61" s="5"/>
      <c r="D61" s="50"/>
    </row>
    <row r="62" spans="1:17" x14ac:dyDescent="0.2">
      <c r="B62" s="5"/>
      <c r="D62" s="50"/>
    </row>
    <row r="63" spans="1:17" x14ac:dyDescent="0.2">
      <c r="B63" s="5"/>
      <c r="D63" s="50"/>
    </row>
    <row r="64" spans="1:17" x14ac:dyDescent="0.2">
      <c r="B64" s="5"/>
      <c r="D64" s="50"/>
    </row>
    <row r="65" spans="2:4" x14ac:dyDescent="0.2">
      <c r="B65" s="5"/>
      <c r="D65" s="50"/>
    </row>
    <row r="66" spans="2:4" x14ac:dyDescent="0.2">
      <c r="B66" s="5"/>
      <c r="D66" s="50"/>
    </row>
    <row r="67" spans="2:4" x14ac:dyDescent="0.2">
      <c r="B67" s="5"/>
      <c r="D67" s="50"/>
    </row>
    <row r="68" spans="2:4" x14ac:dyDescent="0.2">
      <c r="B68" s="5"/>
      <c r="D68" s="50"/>
    </row>
    <row r="69" spans="2:4" x14ac:dyDescent="0.2">
      <c r="B69" s="5"/>
      <c r="D69" s="50"/>
    </row>
    <row r="70" spans="2:4" x14ac:dyDescent="0.2">
      <c r="B70" s="5"/>
      <c r="D70" s="18"/>
    </row>
    <row r="71" spans="2:4" x14ac:dyDescent="0.2">
      <c r="B71" s="5"/>
      <c r="D71" s="18"/>
    </row>
    <row r="72" spans="2:4" x14ac:dyDescent="0.2">
      <c r="B72" s="5"/>
      <c r="D72" s="18"/>
    </row>
    <row r="73" spans="2:4" x14ac:dyDescent="0.2">
      <c r="B73" s="5"/>
      <c r="D73" s="18"/>
    </row>
    <row r="74" spans="2:4" x14ac:dyDescent="0.2">
      <c r="B74" s="5"/>
      <c r="D74" s="18"/>
    </row>
    <row r="75" spans="2:4" x14ac:dyDescent="0.2">
      <c r="B75" s="5"/>
      <c r="D75" s="18"/>
    </row>
    <row r="76" spans="2:4" x14ac:dyDescent="0.2">
      <c r="B76" s="5"/>
      <c r="D76" s="18"/>
    </row>
    <row r="77" spans="2:4" x14ac:dyDescent="0.2">
      <c r="B77" s="5"/>
      <c r="D77" s="18"/>
    </row>
    <row r="78" spans="2:4" x14ac:dyDescent="0.2">
      <c r="B78" s="5"/>
      <c r="D78" s="18"/>
    </row>
    <row r="79" spans="2:4" x14ac:dyDescent="0.2">
      <c r="B79" s="5"/>
      <c r="D79" s="18"/>
    </row>
    <row r="80" spans="2:4" x14ac:dyDescent="0.2">
      <c r="B80" s="5"/>
      <c r="D80" s="18"/>
    </row>
    <row r="81" spans="2:4" x14ac:dyDescent="0.2">
      <c r="B81" s="5"/>
      <c r="D81" s="18"/>
    </row>
    <row r="82" spans="2:4" x14ac:dyDescent="0.2">
      <c r="B82" s="5"/>
      <c r="D82" s="18"/>
    </row>
    <row r="83" spans="2:4" x14ac:dyDescent="0.2">
      <c r="B83" s="5"/>
      <c r="D83" s="18"/>
    </row>
    <row r="84" spans="2:4" x14ac:dyDescent="0.2">
      <c r="B84" s="5"/>
      <c r="D84" s="18"/>
    </row>
    <row r="85" spans="2:4" x14ac:dyDescent="0.2">
      <c r="B85" s="5"/>
      <c r="D85" s="18"/>
    </row>
    <row r="86" spans="2:4" x14ac:dyDescent="0.2">
      <c r="B86" s="5"/>
      <c r="D86" s="18"/>
    </row>
    <row r="87" spans="2:4" x14ac:dyDescent="0.2">
      <c r="B87" s="5"/>
      <c r="D87" s="18"/>
    </row>
    <row r="88" spans="2:4" x14ac:dyDescent="0.2">
      <c r="B88" s="5"/>
      <c r="D88" s="18"/>
    </row>
    <row r="89" spans="2:4" x14ac:dyDescent="0.2">
      <c r="B89" s="5"/>
      <c r="D89" s="18"/>
    </row>
    <row r="90" spans="2:4" x14ac:dyDescent="0.2">
      <c r="B90" s="5"/>
      <c r="D90" s="18"/>
    </row>
    <row r="91" spans="2:4" x14ac:dyDescent="0.2">
      <c r="B91" s="5"/>
      <c r="D91" s="18"/>
    </row>
    <row r="92" spans="2:4" x14ac:dyDescent="0.2">
      <c r="B92" s="5"/>
      <c r="D92" s="18"/>
    </row>
    <row r="93" spans="2:4" x14ac:dyDescent="0.2">
      <c r="B93" s="5"/>
      <c r="D93" s="18"/>
    </row>
    <row r="94" spans="2:4" x14ac:dyDescent="0.2">
      <c r="B94" s="5"/>
      <c r="D94" s="18"/>
    </row>
    <row r="95" spans="2:4" x14ac:dyDescent="0.2">
      <c r="B95" s="5"/>
      <c r="D95" s="18"/>
    </row>
    <row r="96" spans="2:4" x14ac:dyDescent="0.2">
      <c r="B96" s="5"/>
      <c r="D96" s="18"/>
    </row>
    <row r="97" spans="2:4" x14ac:dyDescent="0.2">
      <c r="B97" s="5"/>
      <c r="D97" s="18"/>
    </row>
    <row r="98" spans="2:4" x14ac:dyDescent="0.2">
      <c r="B98" s="5"/>
    </row>
    <row r="99" spans="2:4" x14ac:dyDescent="0.2">
      <c r="B99" s="5"/>
    </row>
    <row r="100" spans="2:4" x14ac:dyDescent="0.2">
      <c r="B100" s="5"/>
    </row>
    <row r="101" spans="2:4" x14ac:dyDescent="0.2">
      <c r="B101" s="5"/>
    </row>
    <row r="102" spans="2:4" x14ac:dyDescent="0.2">
      <c r="B102" s="5"/>
    </row>
    <row r="103" spans="2:4" x14ac:dyDescent="0.2">
      <c r="B103" s="5"/>
    </row>
    <row r="104" spans="2:4" x14ac:dyDescent="0.2">
      <c r="B104" s="5"/>
    </row>
    <row r="105" spans="2:4" x14ac:dyDescent="0.2">
      <c r="B105" s="5"/>
    </row>
    <row r="106" spans="2:4" x14ac:dyDescent="0.2">
      <c r="B106" s="5"/>
    </row>
    <row r="107" spans="2:4" x14ac:dyDescent="0.2">
      <c r="B107" s="5"/>
    </row>
    <row r="108" spans="2:4" x14ac:dyDescent="0.2">
      <c r="B108" s="5"/>
    </row>
    <row r="109" spans="2:4" x14ac:dyDescent="0.2">
      <c r="B109" s="5"/>
    </row>
    <row r="110" spans="2:4" x14ac:dyDescent="0.2">
      <c r="B110" s="5"/>
    </row>
    <row r="111" spans="2:4" x14ac:dyDescent="0.2">
      <c r="B111" s="5"/>
    </row>
    <row r="112" spans="2:4" x14ac:dyDescent="0.2">
      <c r="B112" s="5"/>
    </row>
    <row r="113" spans="2:2" x14ac:dyDescent="0.2">
      <c r="B113" s="5"/>
    </row>
    <row r="114" spans="2:2" x14ac:dyDescent="0.2">
      <c r="B114" s="5"/>
    </row>
    <row r="115" spans="2:2" x14ac:dyDescent="0.2">
      <c r="B115" s="5"/>
    </row>
    <row r="116" spans="2:2" x14ac:dyDescent="0.2">
      <c r="B116" s="5"/>
    </row>
    <row r="117" spans="2:2" x14ac:dyDescent="0.2">
      <c r="B117" s="5"/>
    </row>
    <row r="118" spans="2:2" x14ac:dyDescent="0.2">
      <c r="B118" s="5"/>
    </row>
    <row r="119" spans="2:2" x14ac:dyDescent="0.2">
      <c r="B119" s="5"/>
    </row>
    <row r="120" spans="2:2" x14ac:dyDescent="0.2">
      <c r="B120" s="5"/>
    </row>
    <row r="121" spans="2:2" x14ac:dyDescent="0.2">
      <c r="B121" s="5"/>
    </row>
    <row r="122" spans="2:2" x14ac:dyDescent="0.2">
      <c r="B122" s="5"/>
    </row>
    <row r="123" spans="2:2" x14ac:dyDescent="0.2">
      <c r="B123" s="5"/>
    </row>
    <row r="124" spans="2:2" x14ac:dyDescent="0.2">
      <c r="B124" s="5"/>
    </row>
    <row r="125" spans="2:2" x14ac:dyDescent="0.2">
      <c r="B125" s="5"/>
    </row>
    <row r="126" spans="2:2" x14ac:dyDescent="0.2">
      <c r="B126" s="5"/>
    </row>
    <row r="127" spans="2:2" x14ac:dyDescent="0.2">
      <c r="B127" s="5"/>
    </row>
    <row r="128" spans="2:2" x14ac:dyDescent="0.2">
      <c r="B128" s="5"/>
    </row>
    <row r="129" spans="2:2" x14ac:dyDescent="0.2">
      <c r="B129" s="5"/>
    </row>
    <row r="130" spans="2:2" x14ac:dyDescent="0.2">
      <c r="B130" s="5"/>
    </row>
    <row r="131" spans="2:2" x14ac:dyDescent="0.2">
      <c r="B131" s="5"/>
    </row>
    <row r="132" spans="2:2" x14ac:dyDescent="0.2">
      <c r="B132" s="5"/>
    </row>
    <row r="133" spans="2:2" x14ac:dyDescent="0.2">
      <c r="B133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Q156"/>
  <sheetViews>
    <sheetView workbookViewId="0">
      <pane xSplit="14" ySplit="22" topLeftCell="O41" activePane="bottomRight" state="frozen"/>
      <selection pane="topRight" activeCell="O1" sqref="O1"/>
      <selection pane="bottomLeft" activeCell="A23" sqref="A23"/>
      <selection pane="bottomRight" activeCell="A41" sqref="A41"/>
    </sheetView>
  </sheetViews>
  <sheetFormatPr defaultColWidth="10.28515625" defaultRowHeight="12.75" x14ac:dyDescent="0.2"/>
  <cols>
    <col min="1" max="1" width="17.7109375" customWidth="1"/>
    <col min="2" max="2" width="5.140625" customWidth="1"/>
    <col min="3" max="3" width="11.85546875" style="31" customWidth="1"/>
    <col min="4" max="4" width="9.42578125" customWidth="1"/>
    <col min="5" max="5" width="9.140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29</v>
      </c>
      <c r="B1" s="1"/>
    </row>
    <row r="2" spans="1:6" x14ac:dyDescent="0.2">
      <c r="A2" t="s">
        <v>24</v>
      </c>
      <c r="B2" t="s">
        <v>30</v>
      </c>
    </row>
    <row r="3" spans="1:6" ht="13.5" thickBot="1" x14ac:dyDescent="0.25"/>
    <row r="4" spans="1:6" ht="14.25" thickTop="1" thickBot="1" x14ac:dyDescent="0.25">
      <c r="A4" s="7" t="s">
        <v>0</v>
      </c>
      <c r="B4" s="7"/>
      <c r="C4" s="43">
        <v>34599.502</v>
      </c>
      <c r="D4" s="4">
        <v>3.1419640000000002</v>
      </c>
    </row>
    <row r="5" spans="1:6" x14ac:dyDescent="0.2">
      <c r="A5" s="33" t="s">
        <v>145</v>
      </c>
      <c r="B5" s="17"/>
      <c r="C5" s="44">
        <v>-9.5</v>
      </c>
      <c r="D5" s="17" t="s">
        <v>146</v>
      </c>
    </row>
    <row r="6" spans="1:6" x14ac:dyDescent="0.2">
      <c r="A6" s="7" t="s">
        <v>1</v>
      </c>
      <c r="B6" s="7"/>
    </row>
    <row r="7" spans="1:6" x14ac:dyDescent="0.2">
      <c r="A7" t="s">
        <v>2</v>
      </c>
      <c r="C7" s="48">
        <v>34599.502</v>
      </c>
    </row>
    <row r="8" spans="1:6" x14ac:dyDescent="0.2">
      <c r="A8" t="s">
        <v>3</v>
      </c>
      <c r="C8" s="48">
        <v>3.1420067770000002</v>
      </c>
    </row>
    <row r="9" spans="1:6" x14ac:dyDescent="0.2">
      <c r="A9" s="35" t="s">
        <v>147</v>
      </c>
      <c r="B9" s="36">
        <v>21</v>
      </c>
      <c r="C9" s="42" t="str">
        <f>"F"&amp;B9</f>
        <v>F21</v>
      </c>
      <c r="D9" s="37" t="str">
        <f>"G"&amp;B9</f>
        <v>G21</v>
      </c>
    </row>
    <row r="10" spans="1:6" ht="13.5" thickBot="1" x14ac:dyDescent="0.25">
      <c r="C10" s="45" t="s">
        <v>19</v>
      </c>
      <c r="D10" s="6" t="s">
        <v>20</v>
      </c>
    </row>
    <row r="11" spans="1:6" x14ac:dyDescent="0.2">
      <c r="A11" t="s">
        <v>16</v>
      </c>
      <c r="C11" s="42">
        <f ca="1">INTERCEPT(INDIRECT($D$9):G978,INDIRECT($C$9):F978)</f>
        <v>-0.33009187667611406</v>
      </c>
      <c r="D11" s="5"/>
    </row>
    <row r="12" spans="1:6" x14ac:dyDescent="0.2">
      <c r="A12" t="s">
        <v>17</v>
      </c>
      <c r="C12" s="42">
        <f ca="1">SLOPE(INDIRECT($D$9):G978,INDIRECT($C$9):F978)</f>
        <v>6.2880059575577631E-4</v>
      </c>
      <c r="D12" s="5"/>
    </row>
    <row r="13" spans="1:6" x14ac:dyDescent="0.2">
      <c r="D13" s="5"/>
    </row>
    <row r="14" spans="1:6" x14ac:dyDescent="0.2">
      <c r="A14" t="s">
        <v>23</v>
      </c>
    </row>
    <row r="15" spans="1:6" x14ac:dyDescent="0.2">
      <c r="A15" s="3" t="s">
        <v>18</v>
      </c>
      <c r="C15" s="46">
        <f ca="1">(C7+C11)+(C8+C12)*INT(MAX(F21:F3533))</f>
        <v>53379.562119835566</v>
      </c>
      <c r="E15" s="38" t="s">
        <v>148</v>
      </c>
      <c r="F15" s="34">
        <v>1</v>
      </c>
    </row>
    <row r="16" spans="1:6" x14ac:dyDescent="0.2">
      <c r="A16" s="7" t="s">
        <v>4</v>
      </c>
      <c r="C16" s="47">
        <f ca="1">+C8+C12</f>
        <v>3.142635577595756</v>
      </c>
      <c r="E16" s="38" t="s">
        <v>149</v>
      </c>
      <c r="F16" s="39">
        <f ca="1">NOW()+15018.5+$C$5/24</f>
        <v>60332.673508217587</v>
      </c>
    </row>
    <row r="17" spans="1:17" ht="13.5" thickBot="1" x14ac:dyDescent="0.25">
      <c r="A17" s="10" t="s">
        <v>28</v>
      </c>
      <c r="C17" s="31">
        <f>COUNT(C21:C2191)</f>
        <v>33</v>
      </c>
      <c r="E17" s="38" t="s">
        <v>150</v>
      </c>
      <c r="F17" s="39">
        <f ca="1">ROUND(2*(F16-$C$7)/$C$8,0)/2+F15</f>
        <v>8191</v>
      </c>
    </row>
    <row r="18" spans="1:17" ht="14.25" thickTop="1" thickBot="1" x14ac:dyDescent="0.25">
      <c r="A18" s="7" t="s">
        <v>5</v>
      </c>
      <c r="C18" s="43">
        <f ca="1">+C15</f>
        <v>53379.562119835566</v>
      </c>
      <c r="D18" s="4">
        <f ca="1">+C16</f>
        <v>3.142635577595756</v>
      </c>
      <c r="E18" s="38" t="s">
        <v>151</v>
      </c>
      <c r="F18" s="37">
        <f ca="1">ROUND(2*(F16-$C$15)/$C$16,0)/2+F15</f>
        <v>2213.5</v>
      </c>
    </row>
    <row r="19" spans="1:17" ht="13.5" thickTop="1" x14ac:dyDescent="0.2">
      <c r="E19" s="38" t="s">
        <v>152</v>
      </c>
      <c r="F19" s="40">
        <f ca="1">+$C$15+$C$16*F18-15018.5-$C$5/24</f>
        <v>45317.681804177111</v>
      </c>
    </row>
    <row r="20" spans="1:17" ht="13.5" thickBot="1" x14ac:dyDescent="0.25">
      <c r="A20" s="6" t="s">
        <v>6</v>
      </c>
      <c r="B20" s="6" t="s">
        <v>7</v>
      </c>
      <c r="C20" s="45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45</v>
      </c>
      <c r="I20" s="9" t="s">
        <v>48</v>
      </c>
      <c r="J20" s="9" t="s">
        <v>42</v>
      </c>
      <c r="K20" s="9" t="s">
        <v>40</v>
      </c>
      <c r="L20" s="9" t="s">
        <v>25</v>
      </c>
      <c r="M20" s="9" t="s">
        <v>26</v>
      </c>
      <c r="N20" s="9" t="s">
        <v>27</v>
      </c>
      <c r="O20" s="9" t="s">
        <v>22</v>
      </c>
      <c r="P20" s="8" t="s">
        <v>21</v>
      </c>
      <c r="Q20" s="6" t="s">
        <v>15</v>
      </c>
    </row>
    <row r="21" spans="1:17" x14ac:dyDescent="0.2">
      <c r="A21" t="s">
        <v>31</v>
      </c>
      <c r="B21" s="5"/>
      <c r="C21" s="31">
        <v>32805.440999999999</v>
      </c>
      <c r="D21" s="11"/>
      <c r="E21">
        <f t="shared" ref="E21:E53" si="0">+(C21-C$7)/C$8</f>
        <v>-570.99208478250887</v>
      </c>
      <c r="F21">
        <f t="shared" ref="F21:F49" si="1">ROUND(2*E21,0)/2</f>
        <v>-571</v>
      </c>
      <c r="G21">
        <f t="shared" ref="G21:G53" si="2">+C21-(C$7+F21*C$8)</f>
        <v>2.4869666995073203E-2</v>
      </c>
      <c r="I21">
        <f>+G21</f>
        <v>2.4869666995073203E-2</v>
      </c>
      <c r="O21">
        <f t="shared" ref="O21:O53" ca="1" si="3">+C$11+C$12*$F21</f>
        <v>-0.68913701685266227</v>
      </c>
      <c r="Q21" s="2">
        <f t="shared" ref="Q21:Q53" si="4">+C21-15018.5</f>
        <v>17786.940999999999</v>
      </c>
    </row>
    <row r="22" spans="1:17" x14ac:dyDescent="0.2">
      <c r="A22" t="s">
        <v>12</v>
      </c>
      <c r="B22" s="5"/>
      <c r="C22" s="31">
        <v>34599.502</v>
      </c>
      <c r="D22" s="11" t="s">
        <v>14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-0.33009187667611406</v>
      </c>
      <c r="Q22" s="2">
        <f t="shared" si="4"/>
        <v>19581.002</v>
      </c>
    </row>
    <row r="23" spans="1:17" x14ac:dyDescent="0.2">
      <c r="A23" t="s">
        <v>31</v>
      </c>
      <c r="B23" s="5"/>
      <c r="C23" s="31">
        <v>34599.519999999997</v>
      </c>
      <c r="D23" s="11"/>
      <c r="E23">
        <f t="shared" si="0"/>
        <v>5.7288227791722308E-3</v>
      </c>
      <c r="F23">
        <f t="shared" si="1"/>
        <v>0</v>
      </c>
      <c r="G23">
        <f t="shared" si="2"/>
        <v>1.7999999996391125E-2</v>
      </c>
      <c r="I23">
        <f t="shared" ref="I23:I50" si="5">+G23</f>
        <v>1.7999999996391125E-2</v>
      </c>
      <c r="O23">
        <f t="shared" ca="1" si="3"/>
        <v>-0.33009187667611406</v>
      </c>
      <c r="Q23" s="2">
        <f t="shared" si="4"/>
        <v>19581.019999999997</v>
      </c>
    </row>
    <row r="24" spans="1:17" x14ac:dyDescent="0.2">
      <c r="A24" t="s">
        <v>31</v>
      </c>
      <c r="B24" s="5"/>
      <c r="C24" s="31">
        <v>34624.546999999999</v>
      </c>
      <c r="D24" s="11"/>
      <c r="E24">
        <f t="shared" si="0"/>
        <v>7.9710203629513856</v>
      </c>
      <c r="F24">
        <f t="shared" si="1"/>
        <v>8</v>
      </c>
      <c r="G24">
        <f t="shared" si="2"/>
        <v>-9.1054215998155996E-2</v>
      </c>
      <c r="I24">
        <f t="shared" si="5"/>
        <v>-9.1054215998155996E-2</v>
      </c>
      <c r="O24">
        <f t="shared" ca="1" si="3"/>
        <v>-0.32506147191006785</v>
      </c>
      <c r="Q24" s="2">
        <f t="shared" si="4"/>
        <v>19606.046999999999</v>
      </c>
    </row>
    <row r="25" spans="1:17" x14ac:dyDescent="0.2">
      <c r="A25" t="s">
        <v>31</v>
      </c>
      <c r="B25" s="5"/>
      <c r="C25" s="31">
        <v>34651.332999999999</v>
      </c>
      <c r="D25" s="11"/>
      <c r="E25">
        <f t="shared" si="0"/>
        <v>16.496145195933263</v>
      </c>
      <c r="F25">
        <f t="shared" si="1"/>
        <v>16.5</v>
      </c>
      <c r="G25">
        <f t="shared" si="2"/>
        <v>-1.2111820498830639E-2</v>
      </c>
      <c r="I25">
        <f t="shared" si="5"/>
        <v>-1.2111820498830639E-2</v>
      </c>
      <c r="O25">
        <f t="shared" ca="1" si="3"/>
        <v>-0.31971666684614375</v>
      </c>
      <c r="Q25" s="2">
        <f t="shared" si="4"/>
        <v>19632.832999999999</v>
      </c>
    </row>
    <row r="26" spans="1:17" x14ac:dyDescent="0.2">
      <c r="A26" t="s">
        <v>31</v>
      </c>
      <c r="B26" s="5"/>
      <c r="C26" s="31">
        <v>34662.334999999999</v>
      </c>
      <c r="D26" s="11"/>
      <c r="E26">
        <f t="shared" si="0"/>
        <v>19.997728986438375</v>
      </c>
      <c r="F26">
        <f t="shared" si="1"/>
        <v>20</v>
      </c>
      <c r="G26">
        <f t="shared" si="2"/>
        <v>-7.1355399995809421E-3</v>
      </c>
      <c r="I26">
        <f t="shared" si="5"/>
        <v>-7.1355399995809421E-3</v>
      </c>
      <c r="O26">
        <f t="shared" ca="1" si="3"/>
        <v>-0.31751586476099852</v>
      </c>
      <c r="Q26" s="2">
        <f t="shared" si="4"/>
        <v>19643.834999999999</v>
      </c>
    </row>
    <row r="27" spans="1:17" x14ac:dyDescent="0.2">
      <c r="A27" t="s">
        <v>32</v>
      </c>
      <c r="B27" s="5"/>
      <c r="C27" s="31">
        <v>36068.35</v>
      </c>
      <c r="D27" s="11"/>
      <c r="E27">
        <f t="shared" si="0"/>
        <v>467.48721573492583</v>
      </c>
      <c r="F27">
        <f t="shared" si="1"/>
        <v>467.5</v>
      </c>
      <c r="G27">
        <f t="shared" si="2"/>
        <v>-4.0168247498513665E-2</v>
      </c>
      <c r="I27">
        <f t="shared" si="5"/>
        <v>-4.0168247498513665E-2</v>
      </c>
      <c r="O27">
        <f t="shared" ca="1" si="3"/>
        <v>-3.6127598160288654E-2</v>
      </c>
      <c r="Q27" s="2">
        <f t="shared" si="4"/>
        <v>21049.85</v>
      </c>
    </row>
    <row r="28" spans="1:17" x14ac:dyDescent="0.2">
      <c r="A28" t="s">
        <v>32</v>
      </c>
      <c r="B28" s="5"/>
      <c r="C28" s="31">
        <v>36079.339999999997</v>
      </c>
      <c r="D28" s="11"/>
      <c r="E28">
        <f t="shared" si="0"/>
        <v>470.98498031024332</v>
      </c>
      <c r="F28">
        <f t="shared" si="1"/>
        <v>471</v>
      </c>
      <c r="G28">
        <f t="shared" si="2"/>
        <v>-4.719196700170869E-2</v>
      </c>
      <c r="I28">
        <f t="shared" si="5"/>
        <v>-4.719196700170869E-2</v>
      </c>
      <c r="O28">
        <f t="shared" ca="1" si="3"/>
        <v>-3.3926796075143428E-2</v>
      </c>
      <c r="Q28" s="2">
        <f t="shared" si="4"/>
        <v>21060.839999999997</v>
      </c>
    </row>
    <row r="29" spans="1:17" x14ac:dyDescent="0.2">
      <c r="A29" t="s">
        <v>32</v>
      </c>
      <c r="B29" s="5"/>
      <c r="C29" s="31">
        <v>36098.33</v>
      </c>
      <c r="D29" s="11"/>
      <c r="E29">
        <f t="shared" si="0"/>
        <v>477.02888834348346</v>
      </c>
      <c r="F29">
        <f t="shared" si="1"/>
        <v>477</v>
      </c>
      <c r="G29">
        <f t="shared" si="2"/>
        <v>9.0767371002584696E-2</v>
      </c>
      <c r="I29">
        <f t="shared" si="5"/>
        <v>9.0767371002584696E-2</v>
      </c>
      <c r="O29">
        <f t="shared" ca="1" si="3"/>
        <v>-3.0153992500608739E-2</v>
      </c>
      <c r="Q29" s="2">
        <f t="shared" si="4"/>
        <v>21079.83</v>
      </c>
    </row>
    <row r="30" spans="1:17" x14ac:dyDescent="0.2">
      <c r="A30" t="s">
        <v>32</v>
      </c>
      <c r="B30" s="5"/>
      <c r="C30" s="31">
        <v>36156.33</v>
      </c>
      <c r="D30" s="11"/>
      <c r="E30">
        <f t="shared" si="0"/>
        <v>495.4884284134061</v>
      </c>
      <c r="F30">
        <f t="shared" si="1"/>
        <v>495.5</v>
      </c>
      <c r="G30">
        <f t="shared" si="2"/>
        <v>-3.6358003497298341E-2</v>
      </c>
      <c r="I30">
        <f t="shared" si="5"/>
        <v>-3.6358003497298341E-2</v>
      </c>
      <c r="O30">
        <f t="shared" ca="1" si="3"/>
        <v>-1.8521181479126902E-2</v>
      </c>
      <c r="Q30" s="2">
        <f t="shared" si="4"/>
        <v>21137.83</v>
      </c>
    </row>
    <row r="31" spans="1:17" x14ac:dyDescent="0.2">
      <c r="A31" t="s">
        <v>31</v>
      </c>
      <c r="B31" s="5"/>
      <c r="C31" s="31">
        <v>36434.447999999997</v>
      </c>
      <c r="D31" s="11"/>
      <c r="E31">
        <f t="shared" si="0"/>
        <v>584.00446919214141</v>
      </c>
      <c r="F31">
        <f t="shared" si="1"/>
        <v>584</v>
      </c>
      <c r="G31">
        <f t="shared" si="2"/>
        <v>1.404223199642729E-2</v>
      </c>
      <c r="I31">
        <f t="shared" si="5"/>
        <v>1.404223199642729E-2</v>
      </c>
      <c r="O31">
        <f t="shared" ca="1" si="3"/>
        <v>3.7127671245259286E-2</v>
      </c>
      <c r="Q31" s="2">
        <f t="shared" si="4"/>
        <v>21415.947999999997</v>
      </c>
    </row>
    <row r="32" spans="1:17" x14ac:dyDescent="0.2">
      <c r="A32" t="s">
        <v>31</v>
      </c>
      <c r="B32" s="5"/>
      <c r="C32" s="31">
        <v>36434.476000000002</v>
      </c>
      <c r="D32" s="11"/>
      <c r="E32">
        <f t="shared" si="0"/>
        <v>584.01338069424594</v>
      </c>
      <c r="F32">
        <f t="shared" si="1"/>
        <v>584</v>
      </c>
      <c r="G32">
        <f t="shared" si="2"/>
        <v>4.2042232002131641E-2</v>
      </c>
      <c r="I32">
        <f t="shared" si="5"/>
        <v>4.2042232002131641E-2</v>
      </c>
      <c r="O32">
        <f t="shared" ca="1" si="3"/>
        <v>3.7127671245259286E-2</v>
      </c>
      <c r="Q32" s="2">
        <f t="shared" si="4"/>
        <v>21415.976000000002</v>
      </c>
    </row>
    <row r="33" spans="1:17" x14ac:dyDescent="0.2">
      <c r="A33" t="s">
        <v>32</v>
      </c>
      <c r="B33" s="5"/>
      <c r="C33" s="31">
        <v>36453.339999999997</v>
      </c>
      <c r="D33" s="11"/>
      <c r="E33">
        <f t="shared" si="0"/>
        <v>590.01718696802038</v>
      </c>
      <c r="F33">
        <f t="shared" si="1"/>
        <v>590</v>
      </c>
      <c r="G33">
        <f t="shared" si="2"/>
        <v>5.4001569995307364E-2</v>
      </c>
      <c r="I33">
        <f t="shared" si="5"/>
        <v>5.4001569995307364E-2</v>
      </c>
      <c r="O33">
        <f t="shared" ca="1" si="3"/>
        <v>4.0900474819793975E-2</v>
      </c>
      <c r="Q33" s="2">
        <f t="shared" si="4"/>
        <v>21434.839999999997</v>
      </c>
    </row>
    <row r="34" spans="1:17" x14ac:dyDescent="0.2">
      <c r="A34" t="s">
        <v>31</v>
      </c>
      <c r="B34" s="5"/>
      <c r="C34" s="31">
        <v>36453.341999999997</v>
      </c>
      <c r="D34" s="11"/>
      <c r="E34">
        <f t="shared" si="0"/>
        <v>590.01782350388498</v>
      </c>
      <c r="F34">
        <f t="shared" si="1"/>
        <v>590</v>
      </c>
      <c r="G34">
        <f t="shared" si="2"/>
        <v>5.6001569995714817E-2</v>
      </c>
      <c r="I34">
        <f t="shared" si="5"/>
        <v>5.6001569995714817E-2</v>
      </c>
      <c r="O34">
        <f t="shared" ca="1" si="3"/>
        <v>4.0900474819793975E-2</v>
      </c>
      <c r="Q34" s="2">
        <f t="shared" si="4"/>
        <v>21434.841999999997</v>
      </c>
    </row>
    <row r="35" spans="1:17" x14ac:dyDescent="0.2">
      <c r="A35" t="s">
        <v>31</v>
      </c>
      <c r="B35" s="5"/>
      <c r="C35" s="31">
        <v>36456.404000000002</v>
      </c>
      <c r="D35" s="11"/>
      <c r="E35">
        <f t="shared" si="0"/>
        <v>590.99235991240562</v>
      </c>
      <c r="F35">
        <f t="shared" si="1"/>
        <v>591</v>
      </c>
      <c r="G35">
        <f t="shared" si="2"/>
        <v>-2.4005207000300288E-2</v>
      </c>
      <c r="I35">
        <f t="shared" si="5"/>
        <v>-2.4005207000300288E-2</v>
      </c>
      <c r="O35">
        <f t="shared" ca="1" si="3"/>
        <v>4.1529275415549738E-2</v>
      </c>
      <c r="Q35" s="2">
        <f t="shared" si="4"/>
        <v>21437.904000000002</v>
      </c>
    </row>
    <row r="36" spans="1:17" x14ac:dyDescent="0.2">
      <c r="A36" t="s">
        <v>31</v>
      </c>
      <c r="B36" s="5"/>
      <c r="C36" s="31">
        <v>36459.417999999998</v>
      </c>
      <c r="D36" s="11"/>
      <c r="E36">
        <f t="shared" si="0"/>
        <v>591.95161946017572</v>
      </c>
      <c r="F36">
        <f t="shared" si="1"/>
        <v>592</v>
      </c>
      <c r="G36">
        <f t="shared" si="2"/>
        <v>-0.15201198400609428</v>
      </c>
      <c r="I36">
        <f t="shared" si="5"/>
        <v>-0.15201198400609428</v>
      </c>
      <c r="O36">
        <f t="shared" ca="1" si="3"/>
        <v>4.2158076011305501E-2</v>
      </c>
      <c r="Q36" s="2">
        <f t="shared" si="4"/>
        <v>21440.917999999998</v>
      </c>
    </row>
    <row r="37" spans="1:17" x14ac:dyDescent="0.2">
      <c r="A37" t="s">
        <v>32</v>
      </c>
      <c r="B37" s="5"/>
      <c r="C37" s="31">
        <v>36522.339999999997</v>
      </c>
      <c r="D37" s="11"/>
      <c r="E37">
        <f t="shared" si="0"/>
        <v>611.97767429258352</v>
      </c>
      <c r="F37">
        <f t="shared" si="1"/>
        <v>612</v>
      </c>
      <c r="G37">
        <f t="shared" si="2"/>
        <v>-7.014752400573343E-2</v>
      </c>
      <c r="I37">
        <f t="shared" si="5"/>
        <v>-7.014752400573343E-2</v>
      </c>
      <c r="O37">
        <f t="shared" ca="1" si="3"/>
        <v>5.4734087926421038E-2</v>
      </c>
      <c r="Q37" s="2">
        <f t="shared" si="4"/>
        <v>21503.839999999997</v>
      </c>
    </row>
    <row r="38" spans="1:17" x14ac:dyDescent="0.2">
      <c r="A38" t="s">
        <v>32</v>
      </c>
      <c r="B38" s="5"/>
      <c r="C38" s="31">
        <v>36541.22</v>
      </c>
      <c r="D38" s="11"/>
      <c r="E38">
        <f t="shared" si="0"/>
        <v>617.98657285327704</v>
      </c>
      <c r="F38">
        <f t="shared" si="1"/>
        <v>618</v>
      </c>
      <c r="G38">
        <f t="shared" si="2"/>
        <v>-4.2188186002022121E-2</v>
      </c>
      <c r="I38">
        <f t="shared" si="5"/>
        <v>-4.2188186002022121E-2</v>
      </c>
      <c r="O38">
        <f t="shared" ca="1" si="3"/>
        <v>5.8506891500955671E-2</v>
      </c>
      <c r="Q38" s="2">
        <f t="shared" si="4"/>
        <v>21522.720000000001</v>
      </c>
    </row>
    <row r="39" spans="1:17" x14ac:dyDescent="0.2">
      <c r="A39" t="s">
        <v>31</v>
      </c>
      <c r="B39" s="5"/>
      <c r="C39" s="31">
        <v>36541.254999999997</v>
      </c>
      <c r="D39" s="11"/>
      <c r="E39">
        <f t="shared" si="0"/>
        <v>617.9977122309042</v>
      </c>
      <c r="F39">
        <f t="shared" si="1"/>
        <v>618</v>
      </c>
      <c r="G39">
        <f t="shared" si="2"/>
        <v>-7.1881860058056191E-3</v>
      </c>
      <c r="I39">
        <f t="shared" si="5"/>
        <v>-7.1881860058056191E-3</v>
      </c>
      <c r="O39">
        <f t="shared" ca="1" si="3"/>
        <v>5.8506891500955671E-2</v>
      </c>
      <c r="Q39" s="2">
        <f t="shared" si="4"/>
        <v>21522.754999999997</v>
      </c>
    </row>
    <row r="40" spans="1:17" x14ac:dyDescent="0.2">
      <c r="A40" t="s">
        <v>32</v>
      </c>
      <c r="B40" s="5"/>
      <c r="C40" s="31">
        <v>36574.22</v>
      </c>
      <c r="D40" s="11"/>
      <c r="E40">
        <f t="shared" si="0"/>
        <v>628.48941461719858</v>
      </c>
      <c r="F40">
        <f t="shared" si="1"/>
        <v>628.5</v>
      </c>
      <c r="G40">
        <f t="shared" si="2"/>
        <v>-3.3259344498219434E-2</v>
      </c>
      <c r="I40">
        <f t="shared" si="5"/>
        <v>-3.3259344498219434E-2</v>
      </c>
      <c r="O40">
        <f t="shared" ca="1" si="3"/>
        <v>6.5109297756391349E-2</v>
      </c>
      <c r="Q40" s="2">
        <f t="shared" si="4"/>
        <v>21555.72</v>
      </c>
    </row>
    <row r="41" spans="1:17" x14ac:dyDescent="0.2">
      <c r="A41" t="s">
        <v>32</v>
      </c>
      <c r="B41" s="5"/>
      <c r="C41" s="31">
        <v>36723.43</v>
      </c>
      <c r="D41" s="11"/>
      <c r="E41">
        <f t="shared" si="0"/>
        <v>675.9781727867354</v>
      </c>
      <c r="F41">
        <f t="shared" si="1"/>
        <v>676</v>
      </c>
      <c r="G41">
        <f t="shared" si="2"/>
        <v>-6.8581252002331894E-2</v>
      </c>
      <c r="I41">
        <f t="shared" si="5"/>
        <v>-6.8581252002331894E-2</v>
      </c>
      <c r="O41">
        <f t="shared" ca="1" si="3"/>
        <v>9.4977326054790701E-2</v>
      </c>
      <c r="Q41" s="2">
        <f t="shared" si="4"/>
        <v>21704.93</v>
      </c>
    </row>
    <row r="42" spans="1:17" x14ac:dyDescent="0.2">
      <c r="A42" t="s">
        <v>31</v>
      </c>
      <c r="B42" s="5"/>
      <c r="C42" s="31">
        <v>36723.525000000001</v>
      </c>
      <c r="D42" s="11"/>
      <c r="E42">
        <f t="shared" si="0"/>
        <v>676.00840824029865</v>
      </c>
      <c r="F42">
        <f t="shared" si="1"/>
        <v>676</v>
      </c>
      <c r="G42">
        <f t="shared" si="2"/>
        <v>2.6418747998832259E-2</v>
      </c>
      <c r="I42">
        <f t="shared" si="5"/>
        <v>2.6418747998832259E-2</v>
      </c>
      <c r="O42">
        <f t="shared" ca="1" si="3"/>
        <v>9.4977326054790701E-2</v>
      </c>
      <c r="Q42" s="2">
        <f t="shared" si="4"/>
        <v>21705.025000000001</v>
      </c>
    </row>
    <row r="43" spans="1:17" x14ac:dyDescent="0.2">
      <c r="A43" t="s">
        <v>32</v>
      </c>
      <c r="B43" s="5"/>
      <c r="C43" s="31">
        <v>36745.39</v>
      </c>
      <c r="D43" s="11"/>
      <c r="E43">
        <f t="shared" si="0"/>
        <v>682.96733657872653</v>
      </c>
      <c r="F43">
        <f t="shared" si="1"/>
        <v>683</v>
      </c>
      <c r="G43">
        <f t="shared" si="2"/>
        <v>-0.10262869099824456</v>
      </c>
      <c r="I43">
        <f t="shared" si="5"/>
        <v>-0.10262869099824456</v>
      </c>
      <c r="O43">
        <f t="shared" ca="1" si="3"/>
        <v>9.9378930225081152E-2</v>
      </c>
      <c r="Q43" s="2">
        <f t="shared" si="4"/>
        <v>21726.89</v>
      </c>
    </row>
    <row r="44" spans="1:17" x14ac:dyDescent="0.2">
      <c r="A44" t="s">
        <v>32</v>
      </c>
      <c r="B44" s="5"/>
      <c r="C44" s="31">
        <v>36844.400000000001</v>
      </c>
      <c r="D44" s="11"/>
      <c r="E44">
        <f t="shared" si="0"/>
        <v>714.47904454981415</v>
      </c>
      <c r="F44">
        <f t="shared" si="1"/>
        <v>714.5</v>
      </c>
      <c r="G44">
        <f t="shared" si="2"/>
        <v>-6.5842166499351151E-2</v>
      </c>
      <c r="I44">
        <f t="shared" si="5"/>
        <v>-6.5842166499351151E-2</v>
      </c>
      <c r="O44">
        <f t="shared" ca="1" si="3"/>
        <v>0.11918614899138813</v>
      </c>
      <c r="Q44" s="2">
        <f t="shared" si="4"/>
        <v>21825.9</v>
      </c>
    </row>
    <row r="45" spans="1:17" x14ac:dyDescent="0.2">
      <c r="A45" t="s">
        <v>32</v>
      </c>
      <c r="B45" s="5"/>
      <c r="C45" s="31">
        <v>36874.25</v>
      </c>
      <c r="D45" s="11"/>
      <c r="E45">
        <f t="shared" si="0"/>
        <v>723.97934232717898</v>
      </c>
      <c r="F45">
        <f t="shared" si="1"/>
        <v>724</v>
      </c>
      <c r="G45">
        <f t="shared" si="2"/>
        <v>-6.4906548002909403E-2</v>
      </c>
      <c r="I45">
        <f t="shared" si="5"/>
        <v>-6.4906548002909403E-2</v>
      </c>
      <c r="O45">
        <f t="shared" ca="1" si="3"/>
        <v>0.12515975465106799</v>
      </c>
      <c r="Q45" s="2">
        <f t="shared" si="4"/>
        <v>21855.75</v>
      </c>
    </row>
    <row r="46" spans="1:17" x14ac:dyDescent="0.2">
      <c r="A46" t="s">
        <v>32</v>
      </c>
      <c r="B46" s="5"/>
      <c r="C46" s="31">
        <v>36896.21</v>
      </c>
      <c r="D46" s="11"/>
      <c r="E46">
        <f t="shared" si="0"/>
        <v>730.96850611917012</v>
      </c>
      <c r="F46">
        <f t="shared" si="1"/>
        <v>731</v>
      </c>
      <c r="G46">
        <f t="shared" si="2"/>
        <v>-9.8953986998822074E-2</v>
      </c>
      <c r="I46">
        <f t="shared" si="5"/>
        <v>-9.8953986998822074E-2</v>
      </c>
      <c r="O46">
        <f t="shared" ca="1" si="3"/>
        <v>0.12956135882135844</v>
      </c>
      <c r="Q46" s="2">
        <f t="shared" si="4"/>
        <v>21877.71</v>
      </c>
    </row>
    <row r="47" spans="1:17" x14ac:dyDescent="0.2">
      <c r="A47" t="s">
        <v>31</v>
      </c>
      <c r="B47" s="5"/>
      <c r="C47" s="31">
        <v>36899.237999999998</v>
      </c>
      <c r="D47" s="11"/>
      <c r="E47">
        <f t="shared" si="0"/>
        <v>731.93222141799254</v>
      </c>
      <c r="F47">
        <f t="shared" si="1"/>
        <v>732</v>
      </c>
      <c r="G47">
        <f t="shared" si="2"/>
        <v>-0.21296076400176389</v>
      </c>
      <c r="I47">
        <f t="shared" si="5"/>
        <v>-0.21296076400176389</v>
      </c>
      <c r="O47">
        <f t="shared" ca="1" si="3"/>
        <v>0.1301901594171142</v>
      </c>
      <c r="Q47" s="2">
        <f t="shared" si="4"/>
        <v>21880.737999999998</v>
      </c>
    </row>
    <row r="48" spans="1:17" x14ac:dyDescent="0.2">
      <c r="A48" t="s">
        <v>31</v>
      </c>
      <c r="B48" s="5"/>
      <c r="C48" s="31">
        <v>37543.396000000001</v>
      </c>
      <c r="D48" s="11"/>
      <c r="E48">
        <f t="shared" si="0"/>
        <v>936.94705611387678</v>
      </c>
      <c r="F48">
        <f t="shared" si="1"/>
        <v>937</v>
      </c>
      <c r="G48">
        <f t="shared" si="2"/>
        <v>-0.16635004900308559</v>
      </c>
      <c r="I48">
        <f t="shared" si="5"/>
        <v>-0.16635004900308559</v>
      </c>
      <c r="O48">
        <f t="shared" ca="1" si="3"/>
        <v>0.25909428154704839</v>
      </c>
      <c r="Q48" s="2">
        <f t="shared" si="4"/>
        <v>22524.896000000001</v>
      </c>
    </row>
    <row r="49" spans="1:17" x14ac:dyDescent="0.2">
      <c r="A49" t="s">
        <v>31</v>
      </c>
      <c r="B49" s="5"/>
      <c r="C49" s="31">
        <v>37587.480000000003</v>
      </c>
      <c r="D49" s="11"/>
      <c r="E49">
        <f t="shared" si="0"/>
        <v>950.97757963874778</v>
      </c>
      <c r="F49">
        <f t="shared" si="1"/>
        <v>951</v>
      </c>
      <c r="G49">
        <f t="shared" si="2"/>
        <v>-7.044492699787952E-2</v>
      </c>
      <c r="I49">
        <f t="shared" si="5"/>
        <v>-7.044492699787952E-2</v>
      </c>
      <c r="O49">
        <f t="shared" ca="1" si="3"/>
        <v>0.26789748988762918</v>
      </c>
      <c r="Q49" s="2">
        <f t="shared" si="4"/>
        <v>22568.980000000003</v>
      </c>
    </row>
    <row r="50" spans="1:17" x14ac:dyDescent="0.2">
      <c r="A50" t="s">
        <v>33</v>
      </c>
      <c r="B50" s="5"/>
      <c r="C50" s="31">
        <v>51019.464999999997</v>
      </c>
      <c r="D50" s="11"/>
      <c r="E50">
        <f t="shared" si="0"/>
        <v>5225.9476714680541</v>
      </c>
      <c r="F50" s="41">
        <f>ROUND(2*E50,0)/2-1</f>
        <v>5225</v>
      </c>
      <c r="G50">
        <f t="shared" si="2"/>
        <v>2.9775901749962941</v>
      </c>
      <c r="I50">
        <f t="shared" si="5"/>
        <v>2.9775901749962941</v>
      </c>
      <c r="O50">
        <f t="shared" ca="1" si="3"/>
        <v>2.9553912361478174</v>
      </c>
      <c r="Q50" s="2">
        <f t="shared" si="4"/>
        <v>36000.964999999997</v>
      </c>
    </row>
    <row r="51" spans="1:17" x14ac:dyDescent="0.2">
      <c r="A51" t="s">
        <v>34</v>
      </c>
      <c r="B51" s="5" t="s">
        <v>35</v>
      </c>
      <c r="C51" s="31">
        <v>51277.326399999998</v>
      </c>
      <c r="D51" s="11"/>
      <c r="E51">
        <f t="shared" si="0"/>
        <v>5308.0166860505778</v>
      </c>
      <c r="F51" s="49">
        <f>ROUND(2*E51,0)/2-1</f>
        <v>5307</v>
      </c>
      <c r="G51">
        <f t="shared" si="2"/>
        <v>3.1944344610019471</v>
      </c>
      <c r="K51">
        <f>+G51</f>
        <v>3.1944344610019471</v>
      </c>
      <c r="O51">
        <f t="shared" ca="1" si="3"/>
        <v>3.0069528849997909</v>
      </c>
      <c r="Q51" s="2">
        <f t="shared" si="4"/>
        <v>36258.826399999998</v>
      </c>
    </row>
    <row r="52" spans="1:17" x14ac:dyDescent="0.2">
      <c r="A52" t="s">
        <v>34</v>
      </c>
      <c r="B52" s="5" t="s">
        <v>36</v>
      </c>
      <c r="C52" s="31">
        <v>51278.897599999997</v>
      </c>
      <c r="D52" s="11"/>
      <c r="E52">
        <f t="shared" si="0"/>
        <v>5308.5167486257133</v>
      </c>
      <c r="F52" s="49">
        <f>ROUND(2*E52,0)/2-1</f>
        <v>5307.5</v>
      </c>
      <c r="G52">
        <f t="shared" si="2"/>
        <v>3.1946310724961222</v>
      </c>
      <c r="K52">
        <f>+G52</f>
        <v>3.1946310724961222</v>
      </c>
      <c r="O52">
        <f t="shared" ca="1" si="3"/>
        <v>3.0072672852976687</v>
      </c>
      <c r="Q52" s="2">
        <f t="shared" si="4"/>
        <v>36260.397599999997</v>
      </c>
    </row>
    <row r="53" spans="1:17" x14ac:dyDescent="0.2">
      <c r="A53" s="13" t="s">
        <v>37</v>
      </c>
      <c r="B53" s="14" t="s">
        <v>35</v>
      </c>
      <c r="C53" s="32">
        <v>53379.619100000004</v>
      </c>
      <c r="D53" s="15">
        <v>2E-3</v>
      </c>
      <c r="E53">
        <f t="shared" si="0"/>
        <v>5977.1090366429216</v>
      </c>
      <c r="F53" s="49">
        <f>ROUND(2*E53,0)/2-1</f>
        <v>5976</v>
      </c>
      <c r="G53">
        <f t="shared" si="2"/>
        <v>3.4846006480001961</v>
      </c>
      <c r="K53">
        <f>+G53</f>
        <v>3.4846006480001961</v>
      </c>
      <c r="O53">
        <f t="shared" ca="1" si="3"/>
        <v>3.4276204835604052</v>
      </c>
      <c r="Q53" s="2">
        <f t="shared" si="4"/>
        <v>38361.119100000004</v>
      </c>
    </row>
    <row r="54" spans="1:17" x14ac:dyDescent="0.2">
      <c r="B54" s="5"/>
      <c r="D54" s="11"/>
    </row>
    <row r="55" spans="1:17" x14ac:dyDescent="0.2">
      <c r="B55" s="5"/>
      <c r="D55" s="11"/>
    </row>
    <row r="56" spans="1:17" x14ac:dyDescent="0.2">
      <c r="B56" s="5"/>
      <c r="D56" s="11"/>
    </row>
    <row r="57" spans="1:17" x14ac:dyDescent="0.2">
      <c r="B57" s="5"/>
      <c r="D57" s="11"/>
    </row>
    <row r="58" spans="1:17" x14ac:dyDescent="0.2">
      <c r="A58" s="12"/>
      <c r="B58" s="5"/>
      <c r="D58" s="11"/>
    </row>
    <row r="59" spans="1:17" x14ac:dyDescent="0.2">
      <c r="B59" s="5"/>
      <c r="D59" s="11"/>
    </row>
    <row r="60" spans="1:17" x14ac:dyDescent="0.2">
      <c r="B60" s="5"/>
      <c r="D60" s="11"/>
    </row>
    <row r="61" spans="1:17" x14ac:dyDescent="0.2">
      <c r="B61" s="5"/>
      <c r="D61" s="11"/>
    </row>
    <row r="62" spans="1:17" x14ac:dyDescent="0.2">
      <c r="B62" s="5"/>
      <c r="D62" s="11"/>
    </row>
    <row r="63" spans="1:17" x14ac:dyDescent="0.2">
      <c r="B63" s="5"/>
      <c r="D63" s="11"/>
    </row>
    <row r="64" spans="1:17" x14ac:dyDescent="0.2">
      <c r="B64" s="5"/>
      <c r="D64" s="11"/>
    </row>
    <row r="65" spans="2:4" x14ac:dyDescent="0.2">
      <c r="B65" s="5"/>
      <c r="D65" s="11"/>
    </row>
    <row r="66" spans="2:4" x14ac:dyDescent="0.2">
      <c r="B66" s="5"/>
      <c r="D66" s="11"/>
    </row>
    <row r="67" spans="2:4" x14ac:dyDescent="0.2">
      <c r="B67" s="5"/>
      <c r="D67" s="11"/>
    </row>
    <row r="68" spans="2:4" x14ac:dyDescent="0.2">
      <c r="B68" s="5"/>
      <c r="D68" s="11"/>
    </row>
    <row r="69" spans="2:4" x14ac:dyDescent="0.2">
      <c r="B69" s="5"/>
      <c r="D69" s="11"/>
    </row>
    <row r="70" spans="2:4" x14ac:dyDescent="0.2">
      <c r="B70" s="5"/>
    </row>
    <row r="71" spans="2:4" x14ac:dyDescent="0.2">
      <c r="B71" s="5"/>
    </row>
    <row r="72" spans="2:4" x14ac:dyDescent="0.2">
      <c r="B72" s="5"/>
    </row>
    <row r="73" spans="2:4" x14ac:dyDescent="0.2">
      <c r="B73" s="5"/>
    </row>
    <row r="74" spans="2:4" x14ac:dyDescent="0.2">
      <c r="B74" s="5"/>
    </row>
    <row r="75" spans="2:4" x14ac:dyDescent="0.2">
      <c r="B75" s="5"/>
    </row>
    <row r="76" spans="2:4" x14ac:dyDescent="0.2">
      <c r="B76" s="5"/>
    </row>
    <row r="77" spans="2:4" x14ac:dyDescent="0.2">
      <c r="B77" s="5"/>
    </row>
    <row r="78" spans="2:4" x14ac:dyDescent="0.2">
      <c r="B78" s="5"/>
    </row>
    <row r="79" spans="2:4" x14ac:dyDescent="0.2">
      <c r="B79" s="5"/>
    </row>
    <row r="80" spans="2:4" x14ac:dyDescent="0.2">
      <c r="B80" s="5"/>
    </row>
    <row r="81" spans="2:2" x14ac:dyDescent="0.2">
      <c r="B81" s="5"/>
    </row>
    <row r="82" spans="2:2" x14ac:dyDescent="0.2">
      <c r="B82" s="5"/>
    </row>
    <row r="83" spans="2:2" x14ac:dyDescent="0.2">
      <c r="B83" s="5"/>
    </row>
    <row r="84" spans="2:2" x14ac:dyDescent="0.2">
      <c r="B84" s="5"/>
    </row>
    <row r="85" spans="2:2" x14ac:dyDescent="0.2">
      <c r="B85" s="5"/>
    </row>
    <row r="86" spans="2:2" x14ac:dyDescent="0.2">
      <c r="B86" s="5"/>
    </row>
    <row r="87" spans="2:2" x14ac:dyDescent="0.2">
      <c r="B87" s="5"/>
    </row>
    <row r="88" spans="2:2" x14ac:dyDescent="0.2">
      <c r="B88" s="5"/>
    </row>
    <row r="89" spans="2:2" x14ac:dyDescent="0.2">
      <c r="B89" s="5"/>
    </row>
    <row r="90" spans="2:2" x14ac:dyDescent="0.2">
      <c r="B90" s="5"/>
    </row>
    <row r="91" spans="2:2" x14ac:dyDescent="0.2">
      <c r="B91" s="5"/>
    </row>
    <row r="92" spans="2:2" x14ac:dyDescent="0.2">
      <c r="B92" s="5"/>
    </row>
    <row r="93" spans="2:2" x14ac:dyDescent="0.2">
      <c r="B93" s="5"/>
    </row>
    <row r="94" spans="2:2" x14ac:dyDescent="0.2">
      <c r="B94" s="5"/>
    </row>
    <row r="95" spans="2:2" x14ac:dyDescent="0.2">
      <c r="B95" s="5"/>
    </row>
    <row r="96" spans="2:2" x14ac:dyDescent="0.2">
      <c r="B96" s="5"/>
    </row>
    <row r="97" spans="2:2" x14ac:dyDescent="0.2">
      <c r="B97" s="5"/>
    </row>
    <row r="98" spans="2:2" x14ac:dyDescent="0.2">
      <c r="B98" s="5"/>
    </row>
    <row r="99" spans="2:2" x14ac:dyDescent="0.2">
      <c r="B99" s="5"/>
    </row>
    <row r="100" spans="2:2" x14ac:dyDescent="0.2">
      <c r="B100" s="5"/>
    </row>
    <row r="101" spans="2:2" x14ac:dyDescent="0.2">
      <c r="B101" s="5"/>
    </row>
    <row r="102" spans="2:2" x14ac:dyDescent="0.2">
      <c r="B102" s="5"/>
    </row>
    <row r="103" spans="2:2" x14ac:dyDescent="0.2">
      <c r="B103" s="5"/>
    </row>
    <row r="104" spans="2:2" x14ac:dyDescent="0.2">
      <c r="B104" s="5"/>
    </row>
    <row r="105" spans="2:2" x14ac:dyDescent="0.2">
      <c r="B105" s="5"/>
    </row>
    <row r="106" spans="2:2" x14ac:dyDescent="0.2">
      <c r="B106" s="5"/>
    </row>
    <row r="107" spans="2:2" x14ac:dyDescent="0.2">
      <c r="B107" s="5"/>
    </row>
    <row r="108" spans="2:2" x14ac:dyDescent="0.2">
      <c r="B108" s="5"/>
    </row>
    <row r="109" spans="2:2" x14ac:dyDescent="0.2">
      <c r="B109" s="5"/>
    </row>
    <row r="110" spans="2:2" x14ac:dyDescent="0.2">
      <c r="B110" s="5"/>
    </row>
    <row r="111" spans="2:2" x14ac:dyDescent="0.2">
      <c r="B111" s="5"/>
    </row>
    <row r="112" spans="2:2" x14ac:dyDescent="0.2">
      <c r="B112" s="5"/>
    </row>
    <row r="113" spans="2:2" x14ac:dyDescent="0.2">
      <c r="B113" s="5"/>
    </row>
    <row r="114" spans="2:2" x14ac:dyDescent="0.2">
      <c r="B114" s="5"/>
    </row>
    <row r="115" spans="2:2" x14ac:dyDescent="0.2">
      <c r="B115" s="5"/>
    </row>
    <row r="116" spans="2:2" x14ac:dyDescent="0.2">
      <c r="B116" s="5"/>
    </row>
    <row r="117" spans="2:2" x14ac:dyDescent="0.2">
      <c r="B117" s="5"/>
    </row>
    <row r="118" spans="2:2" x14ac:dyDescent="0.2">
      <c r="B118" s="5"/>
    </row>
    <row r="119" spans="2:2" x14ac:dyDescent="0.2">
      <c r="B119" s="5"/>
    </row>
    <row r="120" spans="2:2" x14ac:dyDescent="0.2">
      <c r="B120" s="5"/>
    </row>
    <row r="121" spans="2:2" x14ac:dyDescent="0.2">
      <c r="B121" s="5"/>
    </row>
    <row r="122" spans="2:2" x14ac:dyDescent="0.2">
      <c r="B122" s="5"/>
    </row>
    <row r="123" spans="2:2" x14ac:dyDescent="0.2">
      <c r="B123" s="5"/>
    </row>
    <row r="124" spans="2:2" x14ac:dyDescent="0.2">
      <c r="B124" s="5"/>
    </row>
    <row r="125" spans="2:2" x14ac:dyDescent="0.2">
      <c r="B125" s="5"/>
    </row>
    <row r="126" spans="2:2" x14ac:dyDescent="0.2">
      <c r="B126" s="5"/>
    </row>
    <row r="127" spans="2:2" x14ac:dyDescent="0.2">
      <c r="B127" s="5"/>
    </row>
    <row r="128" spans="2:2" x14ac:dyDescent="0.2">
      <c r="B128" s="5"/>
    </row>
    <row r="129" spans="2:2" x14ac:dyDescent="0.2">
      <c r="B129" s="5"/>
    </row>
    <row r="130" spans="2:2" x14ac:dyDescent="0.2">
      <c r="B130" s="5"/>
    </row>
    <row r="131" spans="2:2" x14ac:dyDescent="0.2">
      <c r="B131" s="5"/>
    </row>
    <row r="132" spans="2:2" x14ac:dyDescent="0.2">
      <c r="B132" s="5"/>
    </row>
    <row r="133" spans="2:2" x14ac:dyDescent="0.2">
      <c r="B133" s="5"/>
    </row>
    <row r="134" spans="2:2" x14ac:dyDescent="0.2">
      <c r="B134" s="5"/>
    </row>
    <row r="135" spans="2:2" x14ac:dyDescent="0.2">
      <c r="B135" s="5"/>
    </row>
    <row r="136" spans="2:2" x14ac:dyDescent="0.2">
      <c r="B136" s="5"/>
    </row>
    <row r="137" spans="2:2" x14ac:dyDescent="0.2">
      <c r="B137" s="5"/>
    </row>
    <row r="138" spans="2:2" x14ac:dyDescent="0.2">
      <c r="B138" s="5"/>
    </row>
    <row r="139" spans="2:2" x14ac:dyDescent="0.2">
      <c r="B139" s="5"/>
    </row>
    <row r="140" spans="2:2" x14ac:dyDescent="0.2">
      <c r="B140" s="5"/>
    </row>
    <row r="141" spans="2:2" x14ac:dyDescent="0.2">
      <c r="B141" s="5"/>
    </row>
    <row r="142" spans="2:2" x14ac:dyDescent="0.2">
      <c r="B142" s="5"/>
    </row>
    <row r="143" spans="2:2" x14ac:dyDescent="0.2">
      <c r="B143" s="5"/>
    </row>
    <row r="144" spans="2:2" x14ac:dyDescent="0.2">
      <c r="B144" s="5"/>
    </row>
    <row r="145" spans="2:2" x14ac:dyDescent="0.2">
      <c r="B145" s="5"/>
    </row>
    <row r="146" spans="2:2" x14ac:dyDescent="0.2">
      <c r="B146" s="5"/>
    </row>
    <row r="147" spans="2:2" x14ac:dyDescent="0.2">
      <c r="B147" s="5"/>
    </row>
    <row r="148" spans="2:2" x14ac:dyDescent="0.2">
      <c r="B148" s="5"/>
    </row>
    <row r="149" spans="2:2" x14ac:dyDescent="0.2">
      <c r="B149" s="5"/>
    </row>
    <row r="150" spans="2:2" x14ac:dyDescent="0.2">
      <c r="B150" s="5"/>
    </row>
    <row r="151" spans="2:2" x14ac:dyDescent="0.2">
      <c r="B151" s="5"/>
    </row>
    <row r="152" spans="2:2" x14ac:dyDescent="0.2">
      <c r="B152" s="5"/>
    </row>
    <row r="153" spans="2:2" x14ac:dyDescent="0.2">
      <c r="B153" s="5"/>
    </row>
    <row r="154" spans="2:2" x14ac:dyDescent="0.2">
      <c r="B154" s="5"/>
    </row>
    <row r="155" spans="2:2" x14ac:dyDescent="0.2">
      <c r="B155" s="5"/>
    </row>
    <row r="156" spans="2:2" x14ac:dyDescent="0.2">
      <c r="B156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9"/>
  <sheetViews>
    <sheetView workbookViewId="0">
      <selection activeCell="A11" sqref="A11:IV448"/>
    </sheetView>
  </sheetViews>
  <sheetFormatPr defaultRowHeight="12.75" x14ac:dyDescent="0.2"/>
  <cols>
    <col min="1" max="1" width="19.7109375" style="18" customWidth="1"/>
    <col min="2" max="2" width="4.42578125" style="17" customWidth="1"/>
    <col min="3" max="3" width="12.7109375" style="18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8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 x14ac:dyDescent="0.25">
      <c r="A1" s="16" t="s">
        <v>38</v>
      </c>
      <c r="I1" s="19" t="s">
        <v>39</v>
      </c>
      <c r="J1" s="20" t="s">
        <v>40</v>
      </c>
    </row>
    <row r="2" spans="1:16" x14ac:dyDescent="0.2">
      <c r="I2" s="21" t="s">
        <v>41</v>
      </c>
      <c r="J2" s="22" t="s">
        <v>42</v>
      </c>
    </row>
    <row r="3" spans="1:16" x14ac:dyDescent="0.2">
      <c r="A3" s="23" t="s">
        <v>43</v>
      </c>
      <c r="I3" s="21" t="s">
        <v>44</v>
      </c>
      <c r="J3" s="22" t="s">
        <v>45</v>
      </c>
    </row>
    <row r="4" spans="1:16" x14ac:dyDescent="0.2">
      <c r="I4" s="21" t="s">
        <v>46</v>
      </c>
      <c r="J4" s="22" t="s">
        <v>45</v>
      </c>
    </row>
    <row r="5" spans="1:16" ht="13.5" thickBot="1" x14ac:dyDescent="0.25">
      <c r="I5" s="24" t="s">
        <v>47</v>
      </c>
      <c r="J5" s="25" t="s">
        <v>48</v>
      </c>
    </row>
    <row r="10" spans="1:16" ht="13.5" thickBot="1" x14ac:dyDescent="0.25"/>
    <row r="11" spans="1:16" ht="12.75" customHeight="1" thickBot="1" x14ac:dyDescent="0.25">
      <c r="A11" s="18" t="str">
        <f t="shared" ref="A11:A40" si="0">P11</f>
        <v> MVS 678 </v>
      </c>
      <c r="B11" s="5" t="str">
        <f t="shared" ref="B11:B40" si="1">IF(H11=INT(H11),"I","II")</f>
        <v>I</v>
      </c>
      <c r="C11" s="18">
        <f t="shared" ref="C11:C40" si="2">1*G11</f>
        <v>32805.440999999999</v>
      </c>
      <c r="D11" s="17" t="str">
        <f t="shared" ref="D11:D40" si="3">VLOOKUP(F11,I$1:J$5,2,FALSE)</f>
        <v>vis</v>
      </c>
      <c r="E11" s="26">
        <f>VLOOKUP(C11,'Active 1'!C$21:E$973,3,FALSE)</f>
        <v>-570.99208478250887</v>
      </c>
      <c r="F11" s="5" t="s">
        <v>47</v>
      </c>
      <c r="G11" s="17" t="str">
        <f t="shared" ref="G11:G40" si="4">MID(I11,3,LEN(I11)-3)</f>
        <v>32805.441</v>
      </c>
      <c r="H11" s="18">
        <f t="shared" ref="H11:H40" si="5">1*K11</f>
        <v>-571</v>
      </c>
      <c r="I11" s="27" t="s">
        <v>49</v>
      </c>
      <c r="J11" s="28" t="s">
        <v>50</v>
      </c>
      <c r="K11" s="27">
        <v>-571</v>
      </c>
      <c r="L11" s="27" t="s">
        <v>51</v>
      </c>
      <c r="M11" s="28" t="s">
        <v>52</v>
      </c>
      <c r="N11" s="28"/>
      <c r="O11" s="29" t="s">
        <v>53</v>
      </c>
      <c r="P11" s="29" t="s">
        <v>54</v>
      </c>
    </row>
    <row r="12" spans="1:16" ht="12.75" customHeight="1" thickBot="1" x14ac:dyDescent="0.25">
      <c r="A12" s="18" t="str">
        <f t="shared" si="0"/>
        <v> MVS 678 </v>
      </c>
      <c r="B12" s="5" t="str">
        <f t="shared" si="1"/>
        <v>I</v>
      </c>
      <c r="C12" s="18">
        <f t="shared" si="2"/>
        <v>34599.519999999997</v>
      </c>
      <c r="D12" s="17" t="str">
        <f t="shared" si="3"/>
        <v>vis</v>
      </c>
      <c r="E12" s="26">
        <f>VLOOKUP(C12,'Active 1'!C$21:E$973,3,FALSE)</f>
        <v>5.7288227791722308E-3</v>
      </c>
      <c r="F12" s="5" t="s">
        <v>47</v>
      </c>
      <c r="G12" s="17" t="str">
        <f t="shared" si="4"/>
        <v>34599.520</v>
      </c>
      <c r="H12" s="18">
        <f t="shared" si="5"/>
        <v>0</v>
      </c>
      <c r="I12" s="27" t="s">
        <v>55</v>
      </c>
      <c r="J12" s="28" t="s">
        <v>56</v>
      </c>
      <c r="K12" s="27">
        <v>0</v>
      </c>
      <c r="L12" s="27" t="s">
        <v>57</v>
      </c>
      <c r="M12" s="28" t="s">
        <v>52</v>
      </c>
      <c r="N12" s="28"/>
      <c r="O12" s="29" t="s">
        <v>53</v>
      </c>
      <c r="P12" s="29" t="s">
        <v>54</v>
      </c>
    </row>
    <row r="13" spans="1:16" ht="12.75" customHeight="1" thickBot="1" x14ac:dyDescent="0.25">
      <c r="A13" s="18" t="str">
        <f t="shared" si="0"/>
        <v> MVS 678 </v>
      </c>
      <c r="B13" s="5" t="str">
        <f t="shared" si="1"/>
        <v>I</v>
      </c>
      <c r="C13" s="18">
        <f t="shared" si="2"/>
        <v>34624.546999999999</v>
      </c>
      <c r="D13" s="17" t="str">
        <f t="shared" si="3"/>
        <v>vis</v>
      </c>
      <c r="E13" s="26">
        <f>VLOOKUP(C13,'Active 1'!C$21:E$973,3,FALSE)</f>
        <v>7.9710203629513856</v>
      </c>
      <c r="F13" s="5" t="s">
        <v>47</v>
      </c>
      <c r="G13" s="17" t="str">
        <f t="shared" si="4"/>
        <v>34624.547</v>
      </c>
      <c r="H13" s="18">
        <f t="shared" si="5"/>
        <v>8</v>
      </c>
      <c r="I13" s="27" t="s">
        <v>58</v>
      </c>
      <c r="J13" s="28" t="s">
        <v>59</v>
      </c>
      <c r="K13" s="27">
        <v>8</v>
      </c>
      <c r="L13" s="27" t="s">
        <v>60</v>
      </c>
      <c r="M13" s="28" t="s">
        <v>52</v>
      </c>
      <c r="N13" s="28"/>
      <c r="O13" s="29" t="s">
        <v>53</v>
      </c>
      <c r="P13" s="29" t="s">
        <v>54</v>
      </c>
    </row>
    <row r="14" spans="1:16" ht="12.75" customHeight="1" thickBot="1" x14ac:dyDescent="0.25">
      <c r="A14" s="18" t="str">
        <f t="shared" si="0"/>
        <v> MVS 678 </v>
      </c>
      <c r="B14" s="5" t="str">
        <f t="shared" si="1"/>
        <v>II</v>
      </c>
      <c r="C14" s="18">
        <f t="shared" si="2"/>
        <v>34651.332999999999</v>
      </c>
      <c r="D14" s="17" t="str">
        <f t="shared" si="3"/>
        <v>vis</v>
      </c>
      <c r="E14" s="26">
        <f>VLOOKUP(C14,'Active 1'!C$21:E$973,3,FALSE)</f>
        <v>16.496145195933263</v>
      </c>
      <c r="F14" s="5" t="s">
        <v>47</v>
      </c>
      <c r="G14" s="17" t="str">
        <f t="shared" si="4"/>
        <v>34651.333</v>
      </c>
      <c r="H14" s="18">
        <f t="shared" si="5"/>
        <v>16.5</v>
      </c>
      <c r="I14" s="27" t="s">
        <v>61</v>
      </c>
      <c r="J14" s="28" t="s">
        <v>62</v>
      </c>
      <c r="K14" s="27">
        <v>16.5</v>
      </c>
      <c r="L14" s="27" t="s">
        <v>63</v>
      </c>
      <c r="M14" s="28" t="s">
        <v>52</v>
      </c>
      <c r="N14" s="28"/>
      <c r="O14" s="29" t="s">
        <v>53</v>
      </c>
      <c r="P14" s="29" t="s">
        <v>54</v>
      </c>
    </row>
    <row r="15" spans="1:16" ht="12.75" customHeight="1" thickBot="1" x14ac:dyDescent="0.25">
      <c r="A15" s="18" t="str">
        <f t="shared" si="0"/>
        <v> MVS 678 </v>
      </c>
      <c r="B15" s="5" t="str">
        <f t="shared" si="1"/>
        <v>I</v>
      </c>
      <c r="C15" s="18">
        <f t="shared" si="2"/>
        <v>34662.334999999999</v>
      </c>
      <c r="D15" s="17" t="str">
        <f t="shared" si="3"/>
        <v>vis</v>
      </c>
      <c r="E15" s="26">
        <f>VLOOKUP(C15,'Active 1'!C$21:E$973,3,FALSE)</f>
        <v>19.997728986438375</v>
      </c>
      <c r="F15" s="5" t="s">
        <v>47</v>
      </c>
      <c r="G15" s="17" t="str">
        <f t="shared" si="4"/>
        <v>34662.335</v>
      </c>
      <c r="H15" s="18">
        <f t="shared" si="5"/>
        <v>20</v>
      </c>
      <c r="I15" s="27" t="s">
        <v>64</v>
      </c>
      <c r="J15" s="28" t="s">
        <v>65</v>
      </c>
      <c r="K15" s="27">
        <v>20</v>
      </c>
      <c r="L15" s="27" t="s">
        <v>66</v>
      </c>
      <c r="M15" s="28" t="s">
        <v>52</v>
      </c>
      <c r="N15" s="28"/>
      <c r="O15" s="29" t="s">
        <v>53</v>
      </c>
      <c r="P15" s="29" t="s">
        <v>54</v>
      </c>
    </row>
    <row r="16" spans="1:16" ht="12.75" customHeight="1" thickBot="1" x14ac:dyDescent="0.25">
      <c r="A16" s="18" t="str">
        <f t="shared" si="0"/>
        <v> MSAI 33.363 </v>
      </c>
      <c r="B16" s="5" t="str">
        <f t="shared" si="1"/>
        <v>II</v>
      </c>
      <c r="C16" s="18">
        <f t="shared" si="2"/>
        <v>36068.35</v>
      </c>
      <c r="D16" s="17" t="str">
        <f t="shared" si="3"/>
        <v>vis</v>
      </c>
      <c r="E16" s="26">
        <f>VLOOKUP(C16,'Active 1'!C$21:E$973,3,FALSE)</f>
        <v>467.48721573492583</v>
      </c>
      <c r="F16" s="5" t="s">
        <v>47</v>
      </c>
      <c r="G16" s="17" t="str">
        <f t="shared" si="4"/>
        <v>36068.35</v>
      </c>
      <c r="H16" s="18">
        <f t="shared" si="5"/>
        <v>467.5</v>
      </c>
      <c r="I16" s="27" t="s">
        <v>67</v>
      </c>
      <c r="J16" s="28" t="s">
        <v>68</v>
      </c>
      <c r="K16" s="27">
        <v>467.5</v>
      </c>
      <c r="L16" s="27" t="s">
        <v>69</v>
      </c>
      <c r="M16" s="28" t="s">
        <v>52</v>
      </c>
      <c r="N16" s="28"/>
      <c r="O16" s="29" t="s">
        <v>70</v>
      </c>
      <c r="P16" s="29" t="s">
        <v>71</v>
      </c>
    </row>
    <row r="17" spans="1:16" ht="12.75" customHeight="1" thickBot="1" x14ac:dyDescent="0.25">
      <c r="A17" s="18" t="str">
        <f t="shared" si="0"/>
        <v> MSAI 33.363 </v>
      </c>
      <c r="B17" s="5" t="str">
        <f t="shared" si="1"/>
        <v>I</v>
      </c>
      <c r="C17" s="18">
        <f t="shared" si="2"/>
        <v>36079.339999999997</v>
      </c>
      <c r="D17" s="17" t="str">
        <f t="shared" si="3"/>
        <v>vis</v>
      </c>
      <c r="E17" s="26">
        <f>VLOOKUP(C17,'Active 1'!C$21:E$973,3,FALSE)</f>
        <v>470.98498031024332</v>
      </c>
      <c r="F17" s="5" t="s">
        <v>47</v>
      </c>
      <c r="G17" s="17" t="str">
        <f t="shared" si="4"/>
        <v>36079.34</v>
      </c>
      <c r="H17" s="18">
        <f t="shared" si="5"/>
        <v>471</v>
      </c>
      <c r="I17" s="27" t="s">
        <v>72</v>
      </c>
      <c r="J17" s="28" t="s">
        <v>73</v>
      </c>
      <c r="K17" s="27">
        <v>471</v>
      </c>
      <c r="L17" s="27" t="s">
        <v>74</v>
      </c>
      <c r="M17" s="28" t="s">
        <v>52</v>
      </c>
      <c r="N17" s="28"/>
      <c r="O17" s="29" t="s">
        <v>70</v>
      </c>
      <c r="P17" s="29" t="s">
        <v>71</v>
      </c>
    </row>
    <row r="18" spans="1:16" ht="12.75" customHeight="1" thickBot="1" x14ac:dyDescent="0.25">
      <c r="A18" s="18" t="str">
        <f t="shared" si="0"/>
        <v> MSAI 33.363 </v>
      </c>
      <c r="B18" s="5" t="str">
        <f t="shared" si="1"/>
        <v>I</v>
      </c>
      <c r="C18" s="18">
        <f t="shared" si="2"/>
        <v>36098.33</v>
      </c>
      <c r="D18" s="17" t="str">
        <f t="shared" si="3"/>
        <v>vis</v>
      </c>
      <c r="E18" s="26">
        <f>VLOOKUP(C18,'Active 1'!C$21:E$973,3,FALSE)</f>
        <v>477.02888834348346</v>
      </c>
      <c r="F18" s="5" t="s">
        <v>47</v>
      </c>
      <c r="G18" s="17" t="str">
        <f t="shared" si="4"/>
        <v>36098.33</v>
      </c>
      <c r="H18" s="18">
        <f t="shared" si="5"/>
        <v>477</v>
      </c>
      <c r="I18" s="27" t="s">
        <v>75</v>
      </c>
      <c r="J18" s="28" t="s">
        <v>76</v>
      </c>
      <c r="K18" s="27">
        <v>477</v>
      </c>
      <c r="L18" s="27" t="s">
        <v>77</v>
      </c>
      <c r="M18" s="28" t="s">
        <v>52</v>
      </c>
      <c r="N18" s="28"/>
      <c r="O18" s="29" t="s">
        <v>70</v>
      </c>
      <c r="P18" s="29" t="s">
        <v>71</v>
      </c>
    </row>
    <row r="19" spans="1:16" ht="12.75" customHeight="1" thickBot="1" x14ac:dyDescent="0.25">
      <c r="A19" s="18" t="str">
        <f t="shared" si="0"/>
        <v> MSAI 33.363 </v>
      </c>
      <c r="B19" s="5" t="str">
        <f t="shared" si="1"/>
        <v>II</v>
      </c>
      <c r="C19" s="18">
        <f t="shared" si="2"/>
        <v>36156.33</v>
      </c>
      <c r="D19" s="17" t="str">
        <f t="shared" si="3"/>
        <v>vis</v>
      </c>
      <c r="E19" s="26">
        <f>VLOOKUP(C19,'Active 1'!C$21:E$973,3,FALSE)</f>
        <v>495.4884284134061</v>
      </c>
      <c r="F19" s="5" t="s">
        <v>47</v>
      </c>
      <c r="G19" s="17" t="str">
        <f t="shared" si="4"/>
        <v>36156.33</v>
      </c>
      <c r="H19" s="18">
        <f t="shared" si="5"/>
        <v>495.5</v>
      </c>
      <c r="I19" s="27" t="s">
        <v>78</v>
      </c>
      <c r="J19" s="28" t="s">
        <v>79</v>
      </c>
      <c r="K19" s="27">
        <v>495.5</v>
      </c>
      <c r="L19" s="27" t="s">
        <v>69</v>
      </c>
      <c r="M19" s="28" t="s">
        <v>52</v>
      </c>
      <c r="N19" s="28"/>
      <c r="O19" s="29" t="s">
        <v>70</v>
      </c>
      <c r="P19" s="29" t="s">
        <v>71</v>
      </c>
    </row>
    <row r="20" spans="1:16" ht="12.75" customHeight="1" thickBot="1" x14ac:dyDescent="0.25">
      <c r="A20" s="18" t="str">
        <f t="shared" si="0"/>
        <v> MVS 678 </v>
      </c>
      <c r="B20" s="5" t="str">
        <f t="shared" si="1"/>
        <v>I</v>
      </c>
      <c r="C20" s="18">
        <f t="shared" si="2"/>
        <v>36434.447999999997</v>
      </c>
      <c r="D20" s="17" t="str">
        <f t="shared" si="3"/>
        <v>vis</v>
      </c>
      <c r="E20" s="26">
        <f>VLOOKUP(C20,'Active 1'!C$21:E$973,3,FALSE)</f>
        <v>584.00446919214141</v>
      </c>
      <c r="F20" s="5" t="s">
        <v>47</v>
      </c>
      <c r="G20" s="17" t="str">
        <f t="shared" si="4"/>
        <v>36434.448</v>
      </c>
      <c r="H20" s="18">
        <f t="shared" si="5"/>
        <v>584</v>
      </c>
      <c r="I20" s="27" t="s">
        <v>80</v>
      </c>
      <c r="J20" s="28" t="s">
        <v>81</v>
      </c>
      <c r="K20" s="27">
        <v>584</v>
      </c>
      <c r="L20" s="27" t="s">
        <v>82</v>
      </c>
      <c r="M20" s="28" t="s">
        <v>52</v>
      </c>
      <c r="N20" s="28"/>
      <c r="O20" s="29" t="s">
        <v>53</v>
      </c>
      <c r="P20" s="29" t="s">
        <v>54</v>
      </c>
    </row>
    <row r="21" spans="1:16" ht="12.75" customHeight="1" thickBot="1" x14ac:dyDescent="0.25">
      <c r="A21" s="18" t="str">
        <f t="shared" si="0"/>
        <v> MVS 678 </v>
      </c>
      <c r="B21" s="5" t="str">
        <f t="shared" si="1"/>
        <v>I</v>
      </c>
      <c r="C21" s="18">
        <f t="shared" si="2"/>
        <v>36434.476000000002</v>
      </c>
      <c r="D21" s="17" t="str">
        <f t="shared" si="3"/>
        <v>vis</v>
      </c>
      <c r="E21" s="26">
        <f>VLOOKUP(C21,'Active 1'!C$21:E$973,3,FALSE)</f>
        <v>584.01338069424594</v>
      </c>
      <c r="F21" s="5" t="s">
        <v>47</v>
      </c>
      <c r="G21" s="17" t="str">
        <f t="shared" si="4"/>
        <v>36434.476</v>
      </c>
      <c r="H21" s="18">
        <f t="shared" si="5"/>
        <v>584</v>
      </c>
      <c r="I21" s="27" t="s">
        <v>83</v>
      </c>
      <c r="J21" s="28" t="s">
        <v>84</v>
      </c>
      <c r="K21" s="27">
        <v>584</v>
      </c>
      <c r="L21" s="27" t="s">
        <v>85</v>
      </c>
      <c r="M21" s="28" t="s">
        <v>52</v>
      </c>
      <c r="N21" s="28"/>
      <c r="O21" s="29" t="s">
        <v>53</v>
      </c>
      <c r="P21" s="29" t="s">
        <v>54</v>
      </c>
    </row>
    <row r="22" spans="1:16" ht="12.75" customHeight="1" thickBot="1" x14ac:dyDescent="0.25">
      <c r="A22" s="18" t="str">
        <f t="shared" si="0"/>
        <v> MSAI 33.363 </v>
      </c>
      <c r="B22" s="5" t="str">
        <f t="shared" si="1"/>
        <v>I</v>
      </c>
      <c r="C22" s="18">
        <f t="shared" si="2"/>
        <v>36453.339999999997</v>
      </c>
      <c r="D22" s="17" t="str">
        <f t="shared" si="3"/>
        <v>vis</v>
      </c>
      <c r="E22" s="26">
        <f>VLOOKUP(C22,'Active 1'!C$21:E$973,3,FALSE)</f>
        <v>590.01718696802038</v>
      </c>
      <c r="F22" s="5" t="s">
        <v>47</v>
      </c>
      <c r="G22" s="17" t="str">
        <f t="shared" si="4"/>
        <v>36453.34</v>
      </c>
      <c r="H22" s="18">
        <f t="shared" si="5"/>
        <v>590</v>
      </c>
      <c r="I22" s="27" t="s">
        <v>86</v>
      </c>
      <c r="J22" s="28" t="s">
        <v>87</v>
      </c>
      <c r="K22" s="27">
        <v>590</v>
      </c>
      <c r="L22" s="27" t="s">
        <v>88</v>
      </c>
      <c r="M22" s="28" t="s">
        <v>52</v>
      </c>
      <c r="N22" s="28"/>
      <c r="O22" s="29" t="s">
        <v>70</v>
      </c>
      <c r="P22" s="29" t="s">
        <v>71</v>
      </c>
    </row>
    <row r="23" spans="1:16" ht="12.75" customHeight="1" thickBot="1" x14ac:dyDescent="0.25">
      <c r="A23" s="18" t="str">
        <f t="shared" si="0"/>
        <v> MVS 678 </v>
      </c>
      <c r="B23" s="5" t="str">
        <f t="shared" si="1"/>
        <v>I</v>
      </c>
      <c r="C23" s="18">
        <f t="shared" si="2"/>
        <v>36453.341999999997</v>
      </c>
      <c r="D23" s="17" t="str">
        <f t="shared" si="3"/>
        <v>vis</v>
      </c>
      <c r="E23" s="26">
        <f>VLOOKUP(C23,'Active 1'!C$21:E$973,3,FALSE)</f>
        <v>590.01782350388498</v>
      </c>
      <c r="F23" s="5" t="s">
        <v>47</v>
      </c>
      <c r="G23" s="17" t="str">
        <f t="shared" si="4"/>
        <v>36453.342</v>
      </c>
      <c r="H23" s="18">
        <f t="shared" si="5"/>
        <v>590</v>
      </c>
      <c r="I23" s="27" t="s">
        <v>89</v>
      </c>
      <c r="J23" s="28" t="s">
        <v>90</v>
      </c>
      <c r="K23" s="27">
        <v>590</v>
      </c>
      <c r="L23" s="27" t="s">
        <v>91</v>
      </c>
      <c r="M23" s="28" t="s">
        <v>52</v>
      </c>
      <c r="N23" s="28"/>
      <c r="O23" s="29" t="s">
        <v>53</v>
      </c>
      <c r="P23" s="29" t="s">
        <v>54</v>
      </c>
    </row>
    <row r="24" spans="1:16" ht="12.75" customHeight="1" thickBot="1" x14ac:dyDescent="0.25">
      <c r="A24" s="18" t="str">
        <f t="shared" si="0"/>
        <v> MVS 678 </v>
      </c>
      <c r="B24" s="5" t="str">
        <f t="shared" si="1"/>
        <v>I</v>
      </c>
      <c r="C24" s="18">
        <f t="shared" si="2"/>
        <v>36456.404000000002</v>
      </c>
      <c r="D24" s="17" t="str">
        <f t="shared" si="3"/>
        <v>vis</v>
      </c>
      <c r="E24" s="26">
        <f>VLOOKUP(C24,'Active 1'!C$21:E$973,3,FALSE)</f>
        <v>590.99235991240562</v>
      </c>
      <c r="F24" s="5" t="s">
        <v>47</v>
      </c>
      <c r="G24" s="17" t="str">
        <f t="shared" si="4"/>
        <v>36456.404</v>
      </c>
      <c r="H24" s="18">
        <f t="shared" si="5"/>
        <v>591</v>
      </c>
      <c r="I24" s="27" t="s">
        <v>92</v>
      </c>
      <c r="J24" s="28" t="s">
        <v>93</v>
      </c>
      <c r="K24" s="27">
        <v>591</v>
      </c>
      <c r="L24" s="27" t="s">
        <v>94</v>
      </c>
      <c r="M24" s="28" t="s">
        <v>52</v>
      </c>
      <c r="N24" s="28"/>
      <c r="O24" s="29" t="s">
        <v>53</v>
      </c>
      <c r="P24" s="29" t="s">
        <v>54</v>
      </c>
    </row>
    <row r="25" spans="1:16" ht="12.75" customHeight="1" thickBot="1" x14ac:dyDescent="0.25">
      <c r="A25" s="18" t="str">
        <f t="shared" si="0"/>
        <v> MVS 678 </v>
      </c>
      <c r="B25" s="5" t="str">
        <f t="shared" si="1"/>
        <v>I</v>
      </c>
      <c r="C25" s="18">
        <f t="shared" si="2"/>
        <v>36459.417999999998</v>
      </c>
      <c r="D25" s="17" t="str">
        <f t="shared" si="3"/>
        <v>vis</v>
      </c>
      <c r="E25" s="26">
        <f>VLOOKUP(C25,'Active 1'!C$21:E$973,3,FALSE)</f>
        <v>591.95161946017572</v>
      </c>
      <c r="F25" s="5" t="s">
        <v>47</v>
      </c>
      <c r="G25" s="17" t="str">
        <f t="shared" si="4"/>
        <v>36459.418</v>
      </c>
      <c r="H25" s="18">
        <f t="shared" si="5"/>
        <v>592</v>
      </c>
      <c r="I25" s="27" t="s">
        <v>95</v>
      </c>
      <c r="J25" s="28" t="s">
        <v>96</v>
      </c>
      <c r="K25" s="27">
        <v>592</v>
      </c>
      <c r="L25" s="27" t="s">
        <v>97</v>
      </c>
      <c r="M25" s="28" t="s">
        <v>52</v>
      </c>
      <c r="N25" s="28"/>
      <c r="O25" s="29" t="s">
        <v>53</v>
      </c>
      <c r="P25" s="29" t="s">
        <v>54</v>
      </c>
    </row>
    <row r="26" spans="1:16" ht="12.75" customHeight="1" thickBot="1" x14ac:dyDescent="0.25">
      <c r="A26" s="18" t="str">
        <f t="shared" si="0"/>
        <v> MSAI 33.363 </v>
      </c>
      <c r="B26" s="5" t="str">
        <f t="shared" si="1"/>
        <v>I</v>
      </c>
      <c r="C26" s="18">
        <f t="shared" si="2"/>
        <v>36522.339999999997</v>
      </c>
      <c r="D26" s="17" t="str">
        <f t="shared" si="3"/>
        <v>vis</v>
      </c>
      <c r="E26" s="26">
        <f>VLOOKUP(C26,'Active 1'!C$21:E$973,3,FALSE)</f>
        <v>611.97767429258352</v>
      </c>
      <c r="F26" s="5" t="s">
        <v>47</v>
      </c>
      <c r="G26" s="17" t="str">
        <f t="shared" si="4"/>
        <v>36522.34</v>
      </c>
      <c r="H26" s="18">
        <f t="shared" si="5"/>
        <v>612</v>
      </c>
      <c r="I26" s="27" t="s">
        <v>98</v>
      </c>
      <c r="J26" s="28" t="s">
        <v>99</v>
      </c>
      <c r="K26" s="27">
        <v>612</v>
      </c>
      <c r="L26" s="27" t="s">
        <v>100</v>
      </c>
      <c r="M26" s="28" t="s">
        <v>52</v>
      </c>
      <c r="N26" s="28"/>
      <c r="O26" s="29" t="s">
        <v>70</v>
      </c>
      <c r="P26" s="29" t="s">
        <v>71</v>
      </c>
    </row>
    <row r="27" spans="1:16" ht="12.75" customHeight="1" thickBot="1" x14ac:dyDescent="0.25">
      <c r="A27" s="18" t="str">
        <f t="shared" si="0"/>
        <v> MSAI 33.363 </v>
      </c>
      <c r="B27" s="5" t="str">
        <f t="shared" si="1"/>
        <v>I</v>
      </c>
      <c r="C27" s="18">
        <f t="shared" si="2"/>
        <v>36541.22</v>
      </c>
      <c r="D27" s="17" t="str">
        <f t="shared" si="3"/>
        <v>vis</v>
      </c>
      <c r="E27" s="26">
        <f>VLOOKUP(C27,'Active 1'!C$21:E$973,3,FALSE)</f>
        <v>617.98657285327704</v>
      </c>
      <c r="F27" s="5" t="s">
        <v>47</v>
      </c>
      <c r="G27" s="17" t="str">
        <f t="shared" si="4"/>
        <v>36541.22</v>
      </c>
      <c r="H27" s="18">
        <f t="shared" si="5"/>
        <v>618</v>
      </c>
      <c r="I27" s="27" t="s">
        <v>101</v>
      </c>
      <c r="J27" s="28" t="s">
        <v>102</v>
      </c>
      <c r="K27" s="27">
        <v>618</v>
      </c>
      <c r="L27" s="27" t="s">
        <v>69</v>
      </c>
      <c r="M27" s="28" t="s">
        <v>52</v>
      </c>
      <c r="N27" s="28"/>
      <c r="O27" s="29" t="s">
        <v>70</v>
      </c>
      <c r="P27" s="29" t="s">
        <v>71</v>
      </c>
    </row>
    <row r="28" spans="1:16" ht="12.75" customHeight="1" thickBot="1" x14ac:dyDescent="0.25">
      <c r="A28" s="18" t="str">
        <f t="shared" si="0"/>
        <v> MVS 678 </v>
      </c>
      <c r="B28" s="5" t="str">
        <f t="shared" si="1"/>
        <v>I</v>
      </c>
      <c r="C28" s="18">
        <f t="shared" si="2"/>
        <v>36541.254999999997</v>
      </c>
      <c r="D28" s="17" t="str">
        <f t="shared" si="3"/>
        <v>vis</v>
      </c>
      <c r="E28" s="26">
        <f>VLOOKUP(C28,'Active 1'!C$21:E$973,3,FALSE)</f>
        <v>617.9977122309042</v>
      </c>
      <c r="F28" s="5" t="s">
        <v>47</v>
      </c>
      <c r="G28" s="17" t="str">
        <f t="shared" si="4"/>
        <v>36541.255</v>
      </c>
      <c r="H28" s="18">
        <f t="shared" si="5"/>
        <v>618</v>
      </c>
      <c r="I28" s="27" t="s">
        <v>103</v>
      </c>
      <c r="J28" s="28" t="s">
        <v>104</v>
      </c>
      <c r="K28" s="27">
        <v>618</v>
      </c>
      <c r="L28" s="27" t="s">
        <v>105</v>
      </c>
      <c r="M28" s="28" t="s">
        <v>52</v>
      </c>
      <c r="N28" s="28"/>
      <c r="O28" s="29" t="s">
        <v>53</v>
      </c>
      <c r="P28" s="29" t="s">
        <v>54</v>
      </c>
    </row>
    <row r="29" spans="1:16" ht="12.75" customHeight="1" thickBot="1" x14ac:dyDescent="0.25">
      <c r="A29" s="18" t="str">
        <f t="shared" si="0"/>
        <v> MSAI 33.363 </v>
      </c>
      <c r="B29" s="5" t="str">
        <f t="shared" si="1"/>
        <v>II</v>
      </c>
      <c r="C29" s="18">
        <f t="shared" si="2"/>
        <v>36574.22</v>
      </c>
      <c r="D29" s="17" t="str">
        <f t="shared" si="3"/>
        <v>vis</v>
      </c>
      <c r="E29" s="26">
        <f>VLOOKUP(C29,'Active 1'!C$21:E$973,3,FALSE)</f>
        <v>628.48941461719858</v>
      </c>
      <c r="F29" s="5" t="s">
        <v>47</v>
      </c>
      <c r="G29" s="17" t="str">
        <f t="shared" si="4"/>
        <v>36574.22</v>
      </c>
      <c r="H29" s="18">
        <f t="shared" si="5"/>
        <v>628.5</v>
      </c>
      <c r="I29" s="27" t="s">
        <v>106</v>
      </c>
      <c r="J29" s="28" t="s">
        <v>107</v>
      </c>
      <c r="K29" s="27">
        <v>628.5</v>
      </c>
      <c r="L29" s="27" t="s">
        <v>108</v>
      </c>
      <c r="M29" s="28" t="s">
        <v>52</v>
      </c>
      <c r="N29" s="28"/>
      <c r="O29" s="29" t="s">
        <v>70</v>
      </c>
      <c r="P29" s="29" t="s">
        <v>71</v>
      </c>
    </row>
    <row r="30" spans="1:16" ht="12.75" customHeight="1" thickBot="1" x14ac:dyDescent="0.25">
      <c r="A30" s="18" t="str">
        <f t="shared" si="0"/>
        <v> MSAI 33.363 </v>
      </c>
      <c r="B30" s="5" t="str">
        <f t="shared" si="1"/>
        <v>I</v>
      </c>
      <c r="C30" s="18">
        <f t="shared" si="2"/>
        <v>36723.43</v>
      </c>
      <c r="D30" s="17" t="str">
        <f t="shared" si="3"/>
        <v>vis</v>
      </c>
      <c r="E30" s="26">
        <f>VLOOKUP(C30,'Active 1'!C$21:E$973,3,FALSE)</f>
        <v>675.9781727867354</v>
      </c>
      <c r="F30" s="5" t="s">
        <v>47</v>
      </c>
      <c r="G30" s="17" t="str">
        <f t="shared" si="4"/>
        <v>36723.43</v>
      </c>
      <c r="H30" s="18">
        <f t="shared" si="5"/>
        <v>676</v>
      </c>
      <c r="I30" s="27" t="s">
        <v>109</v>
      </c>
      <c r="J30" s="28" t="s">
        <v>110</v>
      </c>
      <c r="K30" s="27">
        <v>676</v>
      </c>
      <c r="L30" s="27" t="s">
        <v>100</v>
      </c>
      <c r="M30" s="28" t="s">
        <v>52</v>
      </c>
      <c r="N30" s="28"/>
      <c r="O30" s="29" t="s">
        <v>70</v>
      </c>
      <c r="P30" s="29" t="s">
        <v>71</v>
      </c>
    </row>
    <row r="31" spans="1:16" ht="12.75" customHeight="1" thickBot="1" x14ac:dyDescent="0.25">
      <c r="A31" s="18" t="str">
        <f t="shared" si="0"/>
        <v> MVS 678 </v>
      </c>
      <c r="B31" s="5" t="str">
        <f t="shared" si="1"/>
        <v>I</v>
      </c>
      <c r="C31" s="18">
        <f t="shared" si="2"/>
        <v>36723.525000000001</v>
      </c>
      <c r="D31" s="17" t="str">
        <f t="shared" si="3"/>
        <v>vis</v>
      </c>
      <c r="E31" s="26">
        <f>VLOOKUP(C31,'Active 1'!C$21:E$973,3,FALSE)</f>
        <v>676.00840824029865</v>
      </c>
      <c r="F31" s="5" t="s">
        <v>47</v>
      </c>
      <c r="G31" s="17" t="str">
        <f t="shared" si="4"/>
        <v>36723.525</v>
      </c>
      <c r="H31" s="18">
        <f t="shared" si="5"/>
        <v>676</v>
      </c>
      <c r="I31" s="27" t="s">
        <v>111</v>
      </c>
      <c r="J31" s="28" t="s">
        <v>112</v>
      </c>
      <c r="K31" s="27">
        <v>676</v>
      </c>
      <c r="L31" s="27" t="s">
        <v>113</v>
      </c>
      <c r="M31" s="28" t="s">
        <v>52</v>
      </c>
      <c r="N31" s="28"/>
      <c r="O31" s="29" t="s">
        <v>53</v>
      </c>
      <c r="P31" s="29" t="s">
        <v>54</v>
      </c>
    </row>
    <row r="32" spans="1:16" ht="12.75" customHeight="1" thickBot="1" x14ac:dyDescent="0.25">
      <c r="A32" s="18" t="str">
        <f t="shared" si="0"/>
        <v> MSAI 33.363 </v>
      </c>
      <c r="B32" s="5" t="str">
        <f t="shared" si="1"/>
        <v>I</v>
      </c>
      <c r="C32" s="18">
        <f t="shared" si="2"/>
        <v>36745.39</v>
      </c>
      <c r="D32" s="17" t="str">
        <f t="shared" si="3"/>
        <v>vis</v>
      </c>
      <c r="E32" s="26">
        <f>VLOOKUP(C32,'Active 1'!C$21:E$973,3,FALSE)</f>
        <v>682.96733657872653</v>
      </c>
      <c r="F32" s="5" t="s">
        <v>47</v>
      </c>
      <c r="G32" s="17" t="str">
        <f t="shared" si="4"/>
        <v>36745.39</v>
      </c>
      <c r="H32" s="18">
        <f t="shared" si="5"/>
        <v>683</v>
      </c>
      <c r="I32" s="27" t="s">
        <v>114</v>
      </c>
      <c r="J32" s="28" t="s">
        <v>115</v>
      </c>
      <c r="K32" s="27">
        <v>683</v>
      </c>
      <c r="L32" s="27" t="s">
        <v>116</v>
      </c>
      <c r="M32" s="28" t="s">
        <v>52</v>
      </c>
      <c r="N32" s="28"/>
      <c r="O32" s="29" t="s">
        <v>70</v>
      </c>
      <c r="P32" s="29" t="s">
        <v>71</v>
      </c>
    </row>
    <row r="33" spans="1:16" ht="12.75" customHeight="1" thickBot="1" x14ac:dyDescent="0.25">
      <c r="A33" s="18" t="str">
        <f t="shared" si="0"/>
        <v> MSAI 33.363 </v>
      </c>
      <c r="B33" s="5" t="str">
        <f t="shared" si="1"/>
        <v>II</v>
      </c>
      <c r="C33" s="18">
        <f t="shared" si="2"/>
        <v>36844.400000000001</v>
      </c>
      <c r="D33" s="17" t="str">
        <f t="shared" si="3"/>
        <v>vis</v>
      </c>
      <c r="E33" s="26">
        <f>VLOOKUP(C33,'Active 1'!C$21:E$973,3,FALSE)</f>
        <v>714.47904454981415</v>
      </c>
      <c r="F33" s="5" t="s">
        <v>47</v>
      </c>
      <c r="G33" s="17" t="str">
        <f t="shared" si="4"/>
        <v>36844.40</v>
      </c>
      <c r="H33" s="18">
        <f t="shared" si="5"/>
        <v>714.5</v>
      </c>
      <c r="I33" s="27" t="s">
        <v>117</v>
      </c>
      <c r="J33" s="28" t="s">
        <v>118</v>
      </c>
      <c r="K33" s="27">
        <v>714.5</v>
      </c>
      <c r="L33" s="27" t="s">
        <v>100</v>
      </c>
      <c r="M33" s="28" t="s">
        <v>52</v>
      </c>
      <c r="N33" s="28"/>
      <c r="O33" s="29" t="s">
        <v>70</v>
      </c>
      <c r="P33" s="29" t="s">
        <v>71</v>
      </c>
    </row>
    <row r="34" spans="1:16" ht="12.75" customHeight="1" thickBot="1" x14ac:dyDescent="0.25">
      <c r="A34" s="18" t="str">
        <f t="shared" si="0"/>
        <v> MSAI 33.363 </v>
      </c>
      <c r="B34" s="5" t="str">
        <f t="shared" si="1"/>
        <v>I</v>
      </c>
      <c r="C34" s="18">
        <f t="shared" si="2"/>
        <v>36874.25</v>
      </c>
      <c r="D34" s="17" t="str">
        <f t="shared" si="3"/>
        <v>vis</v>
      </c>
      <c r="E34" s="26">
        <f>VLOOKUP(C34,'Active 1'!C$21:E$973,3,FALSE)</f>
        <v>723.97934232717898</v>
      </c>
      <c r="F34" s="5" t="s">
        <v>47</v>
      </c>
      <c r="G34" s="17" t="str">
        <f t="shared" si="4"/>
        <v>36874.25</v>
      </c>
      <c r="H34" s="18">
        <f t="shared" si="5"/>
        <v>724</v>
      </c>
      <c r="I34" s="27" t="s">
        <v>119</v>
      </c>
      <c r="J34" s="28" t="s">
        <v>120</v>
      </c>
      <c r="K34" s="27">
        <v>724</v>
      </c>
      <c r="L34" s="27" t="s">
        <v>74</v>
      </c>
      <c r="M34" s="28" t="s">
        <v>52</v>
      </c>
      <c r="N34" s="28"/>
      <c r="O34" s="29" t="s">
        <v>70</v>
      </c>
      <c r="P34" s="29" t="s">
        <v>71</v>
      </c>
    </row>
    <row r="35" spans="1:16" ht="12.75" customHeight="1" thickBot="1" x14ac:dyDescent="0.25">
      <c r="A35" s="18" t="str">
        <f t="shared" si="0"/>
        <v> MSAI 33.363 </v>
      </c>
      <c r="B35" s="5" t="str">
        <f t="shared" si="1"/>
        <v>I</v>
      </c>
      <c r="C35" s="18">
        <f t="shared" si="2"/>
        <v>36896.21</v>
      </c>
      <c r="D35" s="17" t="str">
        <f t="shared" si="3"/>
        <v>vis</v>
      </c>
      <c r="E35" s="26">
        <f>VLOOKUP(C35,'Active 1'!C$21:E$973,3,FALSE)</f>
        <v>730.96850611917012</v>
      </c>
      <c r="F35" s="5" t="s">
        <v>47</v>
      </c>
      <c r="G35" s="17" t="str">
        <f t="shared" si="4"/>
        <v>36896.21</v>
      </c>
      <c r="H35" s="18">
        <f t="shared" si="5"/>
        <v>731</v>
      </c>
      <c r="I35" s="27" t="s">
        <v>121</v>
      </c>
      <c r="J35" s="28" t="s">
        <v>122</v>
      </c>
      <c r="K35" s="27">
        <v>731</v>
      </c>
      <c r="L35" s="27" t="s">
        <v>116</v>
      </c>
      <c r="M35" s="28" t="s">
        <v>52</v>
      </c>
      <c r="N35" s="28"/>
      <c r="O35" s="29" t="s">
        <v>70</v>
      </c>
      <c r="P35" s="29" t="s">
        <v>71</v>
      </c>
    </row>
    <row r="36" spans="1:16" ht="12.75" customHeight="1" thickBot="1" x14ac:dyDescent="0.25">
      <c r="A36" s="18" t="str">
        <f t="shared" si="0"/>
        <v> MVS 678 </v>
      </c>
      <c r="B36" s="5" t="str">
        <f t="shared" si="1"/>
        <v>I</v>
      </c>
      <c r="C36" s="18">
        <f t="shared" si="2"/>
        <v>36899.237999999998</v>
      </c>
      <c r="D36" s="17" t="str">
        <f t="shared" si="3"/>
        <v>vis</v>
      </c>
      <c r="E36" s="26">
        <f>VLOOKUP(C36,'Active 1'!C$21:E$973,3,FALSE)</f>
        <v>731.93222141799254</v>
      </c>
      <c r="F36" s="5" t="s">
        <v>47</v>
      </c>
      <c r="G36" s="17" t="str">
        <f t="shared" si="4"/>
        <v>36899.238</v>
      </c>
      <c r="H36" s="18">
        <f t="shared" si="5"/>
        <v>732</v>
      </c>
      <c r="I36" s="27" t="s">
        <v>123</v>
      </c>
      <c r="J36" s="28" t="s">
        <v>124</v>
      </c>
      <c r="K36" s="27">
        <v>732</v>
      </c>
      <c r="L36" s="27" t="s">
        <v>125</v>
      </c>
      <c r="M36" s="28" t="s">
        <v>52</v>
      </c>
      <c r="N36" s="28"/>
      <c r="O36" s="29" t="s">
        <v>53</v>
      </c>
      <c r="P36" s="29" t="s">
        <v>54</v>
      </c>
    </row>
    <row r="37" spans="1:16" ht="12.75" customHeight="1" thickBot="1" x14ac:dyDescent="0.25">
      <c r="A37" s="18" t="str">
        <f t="shared" si="0"/>
        <v> MVS 678 </v>
      </c>
      <c r="B37" s="5" t="str">
        <f t="shared" si="1"/>
        <v>I</v>
      </c>
      <c r="C37" s="18">
        <f t="shared" si="2"/>
        <v>37543.396000000001</v>
      </c>
      <c r="D37" s="17" t="str">
        <f t="shared" si="3"/>
        <v>vis</v>
      </c>
      <c r="E37" s="26">
        <f>VLOOKUP(C37,'Active 1'!C$21:E$973,3,FALSE)</f>
        <v>936.94705611387678</v>
      </c>
      <c r="F37" s="5" t="s">
        <v>47</v>
      </c>
      <c r="G37" s="17" t="str">
        <f t="shared" si="4"/>
        <v>37543.396</v>
      </c>
      <c r="H37" s="18">
        <f t="shared" si="5"/>
        <v>937</v>
      </c>
      <c r="I37" s="27" t="s">
        <v>126</v>
      </c>
      <c r="J37" s="28" t="s">
        <v>127</v>
      </c>
      <c r="K37" s="27">
        <v>937</v>
      </c>
      <c r="L37" s="27" t="s">
        <v>128</v>
      </c>
      <c r="M37" s="28" t="s">
        <v>52</v>
      </c>
      <c r="N37" s="28"/>
      <c r="O37" s="29" t="s">
        <v>53</v>
      </c>
      <c r="P37" s="29" t="s">
        <v>54</v>
      </c>
    </row>
    <row r="38" spans="1:16" ht="12.75" customHeight="1" thickBot="1" x14ac:dyDescent="0.25">
      <c r="A38" s="18" t="str">
        <f t="shared" si="0"/>
        <v> MVS 678 </v>
      </c>
      <c r="B38" s="5" t="str">
        <f t="shared" si="1"/>
        <v>I</v>
      </c>
      <c r="C38" s="18">
        <f t="shared" si="2"/>
        <v>37587.480000000003</v>
      </c>
      <c r="D38" s="17" t="str">
        <f t="shared" si="3"/>
        <v>vis</v>
      </c>
      <c r="E38" s="26">
        <f>VLOOKUP(C38,'Active 1'!C$21:E$973,3,FALSE)</f>
        <v>950.97757963874778</v>
      </c>
      <c r="F38" s="5" t="s">
        <v>47</v>
      </c>
      <c r="G38" s="17" t="str">
        <f t="shared" si="4"/>
        <v>37587.480</v>
      </c>
      <c r="H38" s="18">
        <f t="shared" si="5"/>
        <v>951</v>
      </c>
      <c r="I38" s="27" t="s">
        <v>129</v>
      </c>
      <c r="J38" s="28" t="s">
        <v>130</v>
      </c>
      <c r="K38" s="27">
        <v>951</v>
      </c>
      <c r="L38" s="27" t="s">
        <v>131</v>
      </c>
      <c r="M38" s="28" t="s">
        <v>52</v>
      </c>
      <c r="N38" s="28"/>
      <c r="O38" s="29" t="s">
        <v>53</v>
      </c>
      <c r="P38" s="29" t="s">
        <v>54</v>
      </c>
    </row>
    <row r="39" spans="1:16" ht="12.75" customHeight="1" thickBot="1" x14ac:dyDescent="0.25">
      <c r="A39" s="18" t="str">
        <f t="shared" si="0"/>
        <v> BBS 119 </v>
      </c>
      <c r="B39" s="5" t="str">
        <f t="shared" si="1"/>
        <v>I</v>
      </c>
      <c r="C39" s="18">
        <f t="shared" si="2"/>
        <v>51019.464999999997</v>
      </c>
      <c r="D39" s="17" t="str">
        <f t="shared" si="3"/>
        <v>vis</v>
      </c>
      <c r="E39" s="26">
        <f>VLOOKUP(C39,'Active 1'!C$21:E$973,3,FALSE)</f>
        <v>5225.9476714680541</v>
      </c>
      <c r="F39" s="5" t="s">
        <v>47</v>
      </c>
      <c r="G39" s="17" t="str">
        <f t="shared" si="4"/>
        <v>51019.465</v>
      </c>
      <c r="H39" s="18">
        <f t="shared" si="5"/>
        <v>5226</v>
      </c>
      <c r="I39" s="27" t="s">
        <v>132</v>
      </c>
      <c r="J39" s="28" t="s">
        <v>133</v>
      </c>
      <c r="K39" s="27">
        <v>5226</v>
      </c>
      <c r="L39" s="27" t="s">
        <v>134</v>
      </c>
      <c r="M39" s="28" t="s">
        <v>135</v>
      </c>
      <c r="N39" s="28"/>
      <c r="O39" s="29" t="s">
        <v>136</v>
      </c>
      <c r="P39" s="29" t="s">
        <v>137</v>
      </c>
    </row>
    <row r="40" spans="1:16" ht="12.75" customHeight="1" thickBot="1" x14ac:dyDescent="0.25">
      <c r="A40" s="18" t="str">
        <f t="shared" si="0"/>
        <v>IBVS 5690 </v>
      </c>
      <c r="B40" s="5" t="str">
        <f t="shared" si="1"/>
        <v>I</v>
      </c>
      <c r="C40" s="18">
        <f t="shared" si="2"/>
        <v>53379.619100000004</v>
      </c>
      <c r="D40" s="17" t="str">
        <f t="shared" si="3"/>
        <v>vis</v>
      </c>
      <c r="E40" s="26">
        <f>VLOOKUP(C40,'Active 1'!C$21:E$973,3,FALSE)</f>
        <v>5977.1090366429216</v>
      </c>
      <c r="F40" s="5" t="s">
        <v>47</v>
      </c>
      <c r="G40" s="17" t="str">
        <f t="shared" si="4"/>
        <v>53379.6191</v>
      </c>
      <c r="H40" s="18">
        <f t="shared" si="5"/>
        <v>5977</v>
      </c>
      <c r="I40" s="27" t="s">
        <v>138</v>
      </c>
      <c r="J40" s="28" t="s">
        <v>139</v>
      </c>
      <c r="K40" s="27">
        <v>5977</v>
      </c>
      <c r="L40" s="27" t="s">
        <v>140</v>
      </c>
      <c r="M40" s="28" t="s">
        <v>141</v>
      </c>
      <c r="N40" s="28" t="s">
        <v>142</v>
      </c>
      <c r="O40" s="29" t="s">
        <v>143</v>
      </c>
      <c r="P40" s="30" t="s">
        <v>144</v>
      </c>
    </row>
    <row r="41" spans="1:16" x14ac:dyDescent="0.2">
      <c r="B41" s="5"/>
      <c r="E41" s="26"/>
      <c r="F41" s="5"/>
    </row>
    <row r="42" spans="1:16" x14ac:dyDescent="0.2">
      <c r="B42" s="5"/>
      <c r="F42" s="5"/>
    </row>
    <row r="43" spans="1:16" x14ac:dyDescent="0.2">
      <c r="B43" s="5"/>
      <c r="F43" s="5"/>
    </row>
    <row r="44" spans="1:16" x14ac:dyDescent="0.2">
      <c r="B44" s="5"/>
      <c r="F44" s="5"/>
    </row>
    <row r="45" spans="1:16" x14ac:dyDescent="0.2">
      <c r="B45" s="5"/>
      <c r="F45" s="5"/>
    </row>
    <row r="46" spans="1:16" x14ac:dyDescent="0.2">
      <c r="B46" s="5"/>
      <c r="F46" s="5"/>
    </row>
    <row r="47" spans="1:16" x14ac:dyDescent="0.2">
      <c r="B47" s="5"/>
      <c r="F47" s="5"/>
    </row>
    <row r="48" spans="1:1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</sheetData>
  <phoneticPr fontId="7" type="noConversion"/>
  <hyperlinks>
    <hyperlink ref="P40" r:id="rId1" display="http://www.konkoly.hu/cgi-bin/IBVS?569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2024-01-23T03:09:51Z</dcterms:modified>
</cp:coreProperties>
</file>