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2C406D1-275F-4FD3-BF59-7A32FB81AB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27" i="1"/>
  <c r="E30" i="1"/>
  <c r="F30" i="1"/>
  <c r="G30" i="1"/>
  <c r="K30" i="1"/>
  <c r="E33" i="1"/>
  <c r="E22" i="2"/>
  <c r="E22" i="1"/>
  <c r="F22" i="1"/>
  <c r="G22" i="1"/>
  <c r="E23" i="1"/>
  <c r="F23" i="1"/>
  <c r="G23" i="1"/>
  <c r="J23" i="1"/>
  <c r="E24" i="1"/>
  <c r="F24" i="1"/>
  <c r="G24" i="1"/>
  <c r="J24" i="1"/>
  <c r="E25" i="1"/>
  <c r="F25" i="1"/>
  <c r="G25" i="1"/>
  <c r="K25" i="1"/>
  <c r="E26" i="1"/>
  <c r="F26" i="1"/>
  <c r="G26" i="1"/>
  <c r="K26" i="1"/>
  <c r="E28" i="1"/>
  <c r="F28" i="1"/>
  <c r="G28" i="1"/>
  <c r="K28" i="1"/>
  <c r="E29" i="1"/>
  <c r="F29" i="1"/>
  <c r="G29" i="1"/>
  <c r="J29" i="1"/>
  <c r="E32" i="1"/>
  <c r="F32" i="1"/>
  <c r="G32" i="1"/>
  <c r="J32" i="1"/>
  <c r="E34" i="1"/>
  <c r="F34" i="1"/>
  <c r="U34" i="1"/>
  <c r="E31" i="1"/>
  <c r="F31" i="1"/>
  <c r="G31" i="1"/>
  <c r="K31" i="1"/>
  <c r="E21" i="1"/>
  <c r="F21" i="1"/>
  <c r="D9" i="1"/>
  <c r="C9" i="1"/>
  <c r="Q30" i="1"/>
  <c r="Q33" i="1"/>
  <c r="G19" i="2"/>
  <c r="C19" i="2"/>
  <c r="E19" i="2"/>
  <c r="G22" i="2"/>
  <c r="C22" i="2"/>
  <c r="G18" i="2"/>
  <c r="C18" i="2"/>
  <c r="E18" i="2"/>
  <c r="G21" i="2"/>
  <c r="C21" i="2"/>
  <c r="E21" i="2"/>
  <c r="G20" i="2"/>
  <c r="C20" i="2"/>
  <c r="E20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E13" i="2"/>
  <c r="G12" i="2"/>
  <c r="C12" i="2"/>
  <c r="E12" i="2"/>
  <c r="G11" i="2"/>
  <c r="C11" i="2"/>
  <c r="E11" i="2"/>
  <c r="H19" i="2"/>
  <c r="D19" i="2"/>
  <c r="B19" i="2"/>
  <c r="A19" i="2"/>
  <c r="H22" i="2"/>
  <c r="B22" i="2"/>
  <c r="D22" i="2"/>
  <c r="A22" i="2"/>
  <c r="H18" i="2"/>
  <c r="D18" i="2"/>
  <c r="B18" i="2"/>
  <c r="A18" i="2"/>
  <c r="H21" i="2"/>
  <c r="B21" i="2"/>
  <c r="D21" i="2"/>
  <c r="A21" i="2"/>
  <c r="H20" i="2"/>
  <c r="D20" i="2"/>
  <c r="B20" i="2"/>
  <c r="A20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32" i="1"/>
  <c r="Q34" i="1"/>
  <c r="Q31" i="1"/>
  <c r="F16" i="1"/>
  <c r="C17" i="1"/>
  <c r="Q28" i="1"/>
  <c r="Q27" i="1"/>
  <c r="Q29" i="1"/>
  <c r="Q25" i="1"/>
  <c r="Q26" i="1"/>
  <c r="Q22" i="1"/>
  <c r="Q23" i="1"/>
  <c r="Q24" i="1"/>
  <c r="J22" i="1"/>
  <c r="Q21" i="1"/>
  <c r="F27" i="1"/>
  <c r="G27" i="1"/>
  <c r="E15" i="2"/>
  <c r="F33" i="1"/>
  <c r="G33" i="1"/>
  <c r="K33" i="1"/>
  <c r="J27" i="1"/>
  <c r="C12" i="1"/>
  <c r="C11" i="1"/>
  <c r="O29" i="1" l="1"/>
  <c r="O28" i="1"/>
  <c r="O32" i="1"/>
  <c r="O27" i="1"/>
  <c r="O22" i="1"/>
  <c r="O34" i="1"/>
  <c r="O24" i="1"/>
  <c r="C15" i="1"/>
  <c r="F18" i="1" s="1"/>
  <c r="O33" i="1"/>
  <c r="O31" i="1"/>
  <c r="O23" i="1"/>
  <c r="O26" i="1"/>
  <c r="O25" i="1"/>
  <c r="O30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<sst xmlns="http://schemas.openxmlformats.org/spreadsheetml/2006/main" count="197" uniqueCount="128">
  <si>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</si>
  <si>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</si>
  <si>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</si>
  <si>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</si>
  <si>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</si>
  <si>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</si>
  <si>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</si>
  <si>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</si>
  <si>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</si>
  <si>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</si>
  <si>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</si>
  <si>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</si>
  <si>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</si>
  <si>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</si>
  <si>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</si>
  <si>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</si>
  <si>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</si>
  <si>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</si>
  <si>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</si>
  <si>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</si>
  <si>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</si>
  <si>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</si>
  <si>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</si>
  <si>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</si>
  <si>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</si>
  <si>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</si>
  <si>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</si>
  <si>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</si>
  <si>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</si>
  <si>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Bull.112</t>
  </si>
  <si>
    <t>B</t>
  </si>
  <si>
    <t>BBSAG Bull.116</t>
  </si>
  <si>
    <t>IBVS 5583</t>
  </si>
  <si>
    <t>I</t>
  </si>
  <si>
    <t># of data points:</t>
  </si>
  <si>
    <t>EA/SD</t>
  </si>
  <si>
    <t>IW Cep / gsc 3973-0194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</si>
  <si>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</si>
  <si>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</si>
  <si>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</si>
  <si>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</si>
  <si>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</si>
  <si>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</si>
  <si>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IBVS 5802</t>
  </si>
  <si>
    <t>IBVS 5781</t>
  </si>
  <si>
    <t>Start of linear fit &gt;&gt;&gt;&gt;&gt;&gt;&gt;&gt;&gt;&gt;&gt;&gt;&gt;&gt;&gt;&gt;&gt;&gt;&gt;&gt;&gt;</t>
  </si>
  <si>
    <t>Add cycle</t>
  </si>
  <si>
    <t>Old Cycle</t>
  </si>
  <si>
    <t>OEJV 0137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</si>
  <si>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</si>
  <si>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</si>
  <si>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</si>
  <si>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</si>
  <si>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</si>
  <si>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</si>
  <si>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</si>
  <si>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</si>
  <si>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</si>
  <si>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</si>
  <si>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</si>
  <si>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</si>
  <si>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</si>
  <si>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2450251.4391 </t>
  </si>
  <si>
    <t> 16.06.1996 22:32 </t>
  </si>
  <si>
    <t> -0.0023 </t>
  </si>
  <si>
    <t>E </t>
  </si>
  <si>
    <t>?</t>
  </si>
  <si>
    <t> R.Diethelm </t>
  </si>
  <si>
    <t> BBS 112 </t>
  </si>
  <si>
    <t>2450771.2827 </t>
  </si>
  <si>
    <t> 18.11.1997 18:47 </t>
  </si>
  <si>
    <t> 0.0009 </t>
  </si>
  <si>
    <t> BBS 116 </t>
  </si>
  <si>
    <t>2452105.4934 </t>
  </si>
  <si>
    <t> 14.07.2001 23:50 </t>
  </si>
  <si>
    <t> 0.0082 </t>
  </si>
  <si>
    <t> M.Zejda </t>
  </si>
  <si>
    <t>IBVS 5583 </t>
  </si>
  <si>
    <t>2452908.5974 </t>
  </si>
  <si>
    <t> 26.09.2003 02:20 </t>
  </si>
  <si>
    <t> 0.0151 </t>
  </si>
  <si>
    <t>2454000.5939 </t>
  </si>
  <si>
    <t> 22.09.2006 02:15 </t>
  </si>
  <si>
    <t> 0.0249 </t>
  </si>
  <si>
    <t>C </t>
  </si>
  <si>
    <t>-I</t>
  </si>
  <si>
    <t> F.Agerer </t>
  </si>
  <si>
    <t>BAVM 183 </t>
  </si>
  <si>
    <t>2454096.3551 </t>
  </si>
  <si>
    <t> 26.12.2006 20:31 </t>
  </si>
  <si>
    <t>13252</t>
  </si>
  <si>
    <t> 0.0260 </t>
  </si>
  <si>
    <t> BBS 133 (=IBVS 5781) </t>
  </si>
  <si>
    <t>2454244.4210 </t>
  </si>
  <si>
    <t> 23.05.2007 22:06 </t>
  </si>
  <si>
    <t>13344</t>
  </si>
  <si>
    <t> 0.0259 </t>
  </si>
  <si>
    <t>BAVM 186 </t>
  </si>
  <si>
    <t>2454738.5147 </t>
  </si>
  <si>
    <t> 29.09.2008 00:21 </t>
  </si>
  <si>
    <t>13651</t>
  </si>
  <si>
    <t> 0.0298 </t>
  </si>
  <si>
    <t>BAVM 203 </t>
  </si>
  <si>
    <t>2455060.4014 </t>
  </si>
  <si>
    <t> 16.08.2009 21:38 </t>
  </si>
  <si>
    <t>13851</t>
  </si>
  <si>
    <t> 0.0339 </t>
  </si>
  <si>
    <t> M.Klos </t>
  </si>
  <si>
    <t>OEJV 0137 </t>
  </si>
  <si>
    <t>2455480.4630 </t>
  </si>
  <si>
    <t> 10.10.2010 23:06 </t>
  </si>
  <si>
    <t>14112</t>
  </si>
  <si>
    <t> 0.0387 </t>
  </si>
  <si>
    <t>BAVM 215 </t>
  </si>
  <si>
    <t>2455801.5429 </t>
  </si>
  <si>
    <t> 28.08.2011 01:01 </t>
  </si>
  <si>
    <t>14311.5</t>
  </si>
  <si>
    <t> 0.0408 </t>
  </si>
  <si>
    <t>BAVM 225 </t>
  </si>
  <si>
    <t>2456568.4466 </t>
  </si>
  <si>
    <t> 02.10.2013 22:43 </t>
  </si>
  <si>
    <t>14788</t>
  </si>
  <si>
    <t> 0.0592 </t>
  </si>
  <si>
    <t>BAVM 234 </t>
  </si>
  <si>
    <t>II</t>
  </si>
  <si>
    <t>BAD?</t>
  </si>
  <si>
    <t>CCD?</t>
  </si>
  <si>
    <t>vis / 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</si>
</sst>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 applyAlignment="1"/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Cep - O-C Diagr.</a:t>
            </a:r>
          </a:p>
        </c:rich>
      </c:tx>
      <c:layout>
        <c:manualLayout>
          <c:xMode val="edge"/>
          <c:yMode val="edge"/>
          <c:x val="0.3798083653004912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586173167964"/>
          <c:y val="0.14769252958613219"/>
          <c:w val="0.8092961383465706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10863</c:v>
                </c:pt>
                <c:pt idx="2">
                  <c:v>10863</c:v>
                </c:pt>
                <c:pt idx="3">
                  <c:v>11186</c:v>
                </c:pt>
                <c:pt idx="4">
                  <c:v>12015</c:v>
                </c:pt>
                <c:pt idx="5">
                  <c:v>12514</c:v>
                </c:pt>
                <c:pt idx="6">
                  <c:v>13192.5</c:v>
                </c:pt>
                <c:pt idx="7">
                  <c:v>13252</c:v>
                </c:pt>
                <c:pt idx="8">
                  <c:v>13344</c:v>
                </c:pt>
                <c:pt idx="9">
                  <c:v>13651</c:v>
                </c:pt>
                <c:pt idx="10">
                  <c:v>13851</c:v>
                </c:pt>
                <c:pt idx="11">
                  <c:v>14112</c:v>
                </c:pt>
                <c:pt idx="12">
                  <c:v>14311.5</c:v>
                </c:pt>
                <c:pt idx="13">
                  <c:v>14788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F6-4F87-AB32-3607F59425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10863</c:v>
                </c:pt>
                <c:pt idx="2">
                  <c:v>10863</c:v>
                </c:pt>
                <c:pt idx="3">
                  <c:v>11186</c:v>
                </c:pt>
                <c:pt idx="4">
                  <c:v>12015</c:v>
                </c:pt>
                <c:pt idx="5">
                  <c:v>12514</c:v>
                </c:pt>
                <c:pt idx="6">
                  <c:v>13192.5</c:v>
                </c:pt>
                <c:pt idx="7">
                  <c:v>13252</c:v>
                </c:pt>
                <c:pt idx="8">
                  <c:v>13344</c:v>
                </c:pt>
                <c:pt idx="9">
                  <c:v>13651</c:v>
                </c:pt>
                <c:pt idx="10">
                  <c:v>13851</c:v>
                </c:pt>
                <c:pt idx="11">
                  <c:v>14112</c:v>
                </c:pt>
                <c:pt idx="12">
                  <c:v>14311.5</c:v>
                </c:pt>
                <c:pt idx="13">
                  <c:v>14788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F6-4F87-AB32-3607F59425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10863</c:v>
                </c:pt>
                <c:pt idx="2">
                  <c:v>10863</c:v>
                </c:pt>
                <c:pt idx="3">
                  <c:v>11186</c:v>
                </c:pt>
                <c:pt idx="4">
                  <c:v>12015</c:v>
                </c:pt>
                <c:pt idx="5">
                  <c:v>12514</c:v>
                </c:pt>
                <c:pt idx="6">
                  <c:v>13192.5</c:v>
                </c:pt>
                <c:pt idx="7">
                  <c:v>13252</c:v>
                </c:pt>
                <c:pt idx="8">
                  <c:v>13344</c:v>
                </c:pt>
                <c:pt idx="9">
                  <c:v>13651</c:v>
                </c:pt>
                <c:pt idx="10">
                  <c:v>13851</c:v>
                </c:pt>
                <c:pt idx="11">
                  <c:v>14112</c:v>
                </c:pt>
                <c:pt idx="12">
                  <c:v>14311.5</c:v>
                </c:pt>
                <c:pt idx="13">
                  <c:v>14788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">
                  <c:v>-2.4189999967347831E-3</c:v>
                </c:pt>
                <c:pt idx="2">
                  <c:v>-2.3189999919850379E-3</c:v>
                </c:pt>
                <c:pt idx="3">
                  <c:v>8.820000002742745E-4</c:v>
                </c:pt>
                <c:pt idx="6">
                  <c:v>2.4897499999497086E-2</c:v>
                </c:pt>
                <c:pt idx="8">
                  <c:v>2.5928000002750196E-2</c:v>
                </c:pt>
                <c:pt idx="11">
                  <c:v>3.8744000004953705E-2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F6-4F87-AB32-3607F59425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10863</c:v>
                </c:pt>
                <c:pt idx="2">
                  <c:v>10863</c:v>
                </c:pt>
                <c:pt idx="3">
                  <c:v>11186</c:v>
                </c:pt>
                <c:pt idx="4">
                  <c:v>12015</c:v>
                </c:pt>
                <c:pt idx="5">
                  <c:v>12514</c:v>
                </c:pt>
                <c:pt idx="6">
                  <c:v>13192.5</c:v>
                </c:pt>
                <c:pt idx="7">
                  <c:v>13252</c:v>
                </c:pt>
                <c:pt idx="8">
                  <c:v>13344</c:v>
                </c:pt>
                <c:pt idx="9">
                  <c:v>13651</c:v>
                </c:pt>
                <c:pt idx="10">
                  <c:v>13851</c:v>
                </c:pt>
                <c:pt idx="11">
                  <c:v>14112</c:v>
                </c:pt>
                <c:pt idx="12">
                  <c:v>14311.5</c:v>
                </c:pt>
                <c:pt idx="13">
                  <c:v>14788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4">
                  <c:v>8.2049999982700683E-3</c:v>
                </c:pt>
                <c:pt idx="5">
                  <c:v>1.5117999995709397E-2</c:v>
                </c:pt>
                <c:pt idx="7">
                  <c:v>2.6024000006145798E-2</c:v>
                </c:pt>
                <c:pt idx="9">
                  <c:v>2.9837000001862179E-2</c:v>
                </c:pt>
                <c:pt idx="10">
                  <c:v>3.3996999998635147E-2</c:v>
                </c:pt>
                <c:pt idx="12">
                  <c:v>4.0750500003923662E-2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F6-4F87-AB32-3607F59425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10863</c:v>
                </c:pt>
                <c:pt idx="2">
                  <c:v>10863</c:v>
                </c:pt>
                <c:pt idx="3">
                  <c:v>11186</c:v>
                </c:pt>
                <c:pt idx="4">
                  <c:v>12015</c:v>
                </c:pt>
                <c:pt idx="5">
                  <c:v>12514</c:v>
                </c:pt>
                <c:pt idx="6">
                  <c:v>13192.5</c:v>
                </c:pt>
                <c:pt idx="7">
                  <c:v>13252</c:v>
                </c:pt>
                <c:pt idx="8">
                  <c:v>13344</c:v>
                </c:pt>
                <c:pt idx="9">
                  <c:v>13651</c:v>
                </c:pt>
                <c:pt idx="10">
                  <c:v>13851</c:v>
                </c:pt>
                <c:pt idx="11">
                  <c:v>14112</c:v>
                </c:pt>
                <c:pt idx="12">
                  <c:v>14311.5</c:v>
                </c:pt>
                <c:pt idx="13">
                  <c:v>14788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F6-4F87-AB32-3607F59425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10863</c:v>
                </c:pt>
                <c:pt idx="2">
                  <c:v>10863</c:v>
                </c:pt>
                <c:pt idx="3">
                  <c:v>11186</c:v>
                </c:pt>
                <c:pt idx="4">
                  <c:v>12015</c:v>
                </c:pt>
                <c:pt idx="5">
                  <c:v>12514</c:v>
                </c:pt>
                <c:pt idx="6">
                  <c:v>13192.5</c:v>
                </c:pt>
                <c:pt idx="7">
                  <c:v>13252</c:v>
                </c:pt>
                <c:pt idx="8">
                  <c:v>13344</c:v>
                </c:pt>
                <c:pt idx="9">
                  <c:v>13651</c:v>
                </c:pt>
                <c:pt idx="10">
                  <c:v>13851</c:v>
                </c:pt>
                <c:pt idx="11">
                  <c:v>14112</c:v>
                </c:pt>
                <c:pt idx="12">
                  <c:v>14311.5</c:v>
                </c:pt>
                <c:pt idx="13">
                  <c:v>14788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F6-4F87-AB32-3607F59425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  <c:pt idx="3">
                    <c:v>1.8E-3</c:v>
                  </c:pt>
                  <c:pt idx="4">
                    <c:v>2.2000000000000001E-3</c:v>
                  </c:pt>
                  <c:pt idx="5">
                    <c:v>4.4000000000000003E-3</c:v>
                  </c:pt>
                  <c:pt idx="6">
                    <c:v>1.1000000000000001E-3</c:v>
                  </c:pt>
                  <c:pt idx="7">
                    <c:v>6.9999999999999999E-4</c:v>
                  </c:pt>
                  <c:pt idx="8">
                    <c:v>5.9999999999999995E-4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1.1000000000000001E-3</c:v>
                  </c:pt>
                  <c:pt idx="12">
                    <c:v>0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10863</c:v>
                </c:pt>
                <c:pt idx="2">
                  <c:v>10863</c:v>
                </c:pt>
                <c:pt idx="3">
                  <c:v>11186</c:v>
                </c:pt>
                <c:pt idx="4">
                  <c:v>12015</c:v>
                </c:pt>
                <c:pt idx="5">
                  <c:v>12514</c:v>
                </c:pt>
                <c:pt idx="6">
                  <c:v>13192.5</c:v>
                </c:pt>
                <c:pt idx="7">
                  <c:v>13252</c:v>
                </c:pt>
                <c:pt idx="8">
                  <c:v>13344</c:v>
                </c:pt>
                <c:pt idx="9">
                  <c:v>13651</c:v>
                </c:pt>
                <c:pt idx="10">
                  <c:v>13851</c:v>
                </c:pt>
                <c:pt idx="11">
                  <c:v>14112</c:v>
                </c:pt>
                <c:pt idx="12">
                  <c:v>14311.5</c:v>
                </c:pt>
                <c:pt idx="13">
                  <c:v>14788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F6-4F87-AB32-3607F59425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10863</c:v>
                </c:pt>
                <c:pt idx="2">
                  <c:v>10863</c:v>
                </c:pt>
                <c:pt idx="3">
                  <c:v>11186</c:v>
                </c:pt>
                <c:pt idx="4">
                  <c:v>12015</c:v>
                </c:pt>
                <c:pt idx="5">
                  <c:v>12514</c:v>
                </c:pt>
                <c:pt idx="6">
                  <c:v>13192.5</c:v>
                </c:pt>
                <c:pt idx="7">
                  <c:v>13252</c:v>
                </c:pt>
                <c:pt idx="8">
                  <c:v>13344</c:v>
                </c:pt>
                <c:pt idx="9">
                  <c:v>13651</c:v>
                </c:pt>
                <c:pt idx="10">
                  <c:v>13851</c:v>
                </c:pt>
                <c:pt idx="11">
                  <c:v>14112</c:v>
                </c:pt>
                <c:pt idx="12">
                  <c:v>14311.5</c:v>
                </c:pt>
                <c:pt idx="13">
                  <c:v>14788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">
                  <c:v>-3.6763544915838775E-3</c:v>
                </c:pt>
                <c:pt idx="2">
                  <c:v>-3.6763544915838775E-3</c:v>
                </c:pt>
                <c:pt idx="3">
                  <c:v>3.4377292702683637E-4</c:v>
                </c:pt>
                <c:pt idx="4">
                  <c:v>1.0661685094297046E-2</c:v>
                </c:pt>
                <c:pt idx="5">
                  <c:v>1.6872346338528438E-2</c:v>
                </c:pt>
                <c:pt idx="6">
                  <c:v>2.5317103160594573E-2</c:v>
                </c:pt>
                <c:pt idx="7">
                  <c:v>2.6057652948233395E-2</c:v>
                </c:pt>
                <c:pt idx="8">
                  <c:v>2.7202704720716925E-2</c:v>
                </c:pt>
                <c:pt idx="9">
                  <c:v>3.1023692700634847E-2</c:v>
                </c:pt>
                <c:pt idx="10">
                  <c:v>3.3512935684294726E-2</c:v>
                </c:pt>
                <c:pt idx="11">
                  <c:v>3.6761397777970883E-2</c:v>
                </c:pt>
                <c:pt idx="12">
                  <c:v>3.9244417654171609E-2</c:v>
                </c:pt>
                <c:pt idx="13">
                  <c:v>4.5175039062741285E-2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F6-4F87-AB32-3607F594254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10863</c:v>
                </c:pt>
                <c:pt idx="2">
                  <c:v>10863</c:v>
                </c:pt>
                <c:pt idx="3">
                  <c:v>11186</c:v>
                </c:pt>
                <c:pt idx="4">
                  <c:v>12015</c:v>
                </c:pt>
                <c:pt idx="5">
                  <c:v>12514</c:v>
                </c:pt>
                <c:pt idx="6">
                  <c:v>13192.5</c:v>
                </c:pt>
                <c:pt idx="7">
                  <c:v>13252</c:v>
                </c:pt>
                <c:pt idx="8">
                  <c:v>13344</c:v>
                </c:pt>
                <c:pt idx="9">
                  <c:v>13651</c:v>
                </c:pt>
                <c:pt idx="10">
                  <c:v>13851</c:v>
                </c:pt>
                <c:pt idx="11">
                  <c:v>14112</c:v>
                </c:pt>
                <c:pt idx="12">
                  <c:v>14311.5</c:v>
                </c:pt>
                <c:pt idx="13">
                  <c:v>14788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13">
                  <c:v>5.915600000298582E-2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F6-4F87-AB32-3607F59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03712"/>
        <c:axId val="1"/>
      </c:scatterChart>
      <c:valAx>
        <c:axId val="6409037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393027794603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903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06443906050203"/>
          <c:y val="0.92000129214617399"/>
          <c:w val="0.7708345110707315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428625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069654A-D251-2B96-07B8-44408A91D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183" TargetMode="External"/><Relationship Id="rId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s="13" t="s">
        <v>35</v>
      </c>
    </row>
    <row r="4" spans="1:6" ht="14.25" thickTop="1" thickBot="1" x14ac:dyDescent="0.25">
      <c r="A4" s="7" t="s">
        <v>0</v>
      </c>
      <c r="C4" s="3">
        <v>32768.387999999999</v>
      </c>
      <c r="D4" s="4">
        <v>1.609413</v>
      </c>
    </row>
    <row r="5" spans="1:6" ht="13.5" thickTop="1" x14ac:dyDescent="0.2">
      <c r="A5" s="14" t="s">
        <v>37</v>
      </c>
      <c r="B5" s="15"/>
      <c r="C5" s="16">
        <v>-9.5</v>
      </c>
      <c r="D5" s="15" t="s">
        <v>38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32768.387999999999</v>
      </c>
    </row>
    <row r="8" spans="1:6" x14ac:dyDescent="0.2">
      <c r="A8" t="s">
        <v>3</v>
      </c>
      <c r="C8">
        <f>+D4</f>
        <v>1.609413</v>
      </c>
    </row>
    <row r="9" spans="1:6" x14ac:dyDescent="0.2">
      <c r="A9" s="34" t="s">
        <v>45</v>
      </c>
      <c r="B9" s="35">
        <v>21</v>
      </c>
      <c r="C9" s="33" t="str">
        <f>"F"&amp;B9</f>
        <v>F21</v>
      </c>
      <c r="D9" s="12" t="str">
        <f>"G"&amp;B9</f>
        <v>G21</v>
      </c>
    </row>
    <row r="10" spans="1:6" ht="13.5" thickBot="1" x14ac:dyDescent="0.25">
      <c r="A10" s="15"/>
      <c r="B10" s="15"/>
      <c r="C10" s="6" t="s">
        <v>20</v>
      </c>
      <c r="D10" s="6" t="s">
        <v>21</v>
      </c>
      <c r="E10" s="15"/>
    </row>
    <row r="11" spans="1:6" x14ac:dyDescent="0.2">
      <c r="A11" s="15" t="s">
        <v>16</v>
      </c>
      <c r="B11" s="15"/>
      <c r="C11" s="32">
        <f ca="1">INTERCEPT(INDIRECT($D$9):G991,INDIRECT($C$9):F991)</f>
        <v>-0.13887958714907028</v>
      </c>
      <c r="D11" s="5"/>
      <c r="E11" s="15"/>
    </row>
    <row r="12" spans="1:6" x14ac:dyDescent="0.2">
      <c r="A12" s="15" t="s">
        <v>17</v>
      </c>
      <c r="B12" s="15"/>
      <c r="C12" s="32">
        <f ca="1">SLOPE(INDIRECT($D$9):G991,INDIRECT($C$9):F991)</f>
        <v>1.2446214918299402E-5</v>
      </c>
      <c r="D12" s="5"/>
      <c r="E12" s="15"/>
    </row>
    <row r="13" spans="1:6" x14ac:dyDescent="0.2">
      <c r="A13" s="15" t="s">
        <v>19</v>
      </c>
      <c r="B13" s="15"/>
      <c r="C13" s="5" t="s">
        <v>14</v>
      </c>
    </row>
    <row r="14" spans="1:6" x14ac:dyDescent="0.2">
      <c r="A14" s="15"/>
      <c r="B14" s="15"/>
      <c r="C14" s="15"/>
    </row>
    <row r="15" spans="1:6" x14ac:dyDescent="0.2">
      <c r="A15" s="17" t="s">
        <v>18</v>
      </c>
      <c r="B15" s="15"/>
      <c r="C15" s="18">
        <f ca="1">(C7+C11)+(C8+C12)*INT(MAX(F21:F3532))</f>
        <v>56568.432619039064</v>
      </c>
      <c r="E15" s="19" t="s">
        <v>46</v>
      </c>
      <c r="F15" s="16">
        <v>1</v>
      </c>
    </row>
    <row r="16" spans="1:6" x14ac:dyDescent="0.2">
      <c r="A16" s="21" t="s">
        <v>4</v>
      </c>
      <c r="B16" s="15"/>
      <c r="C16" s="22">
        <f ca="1">+C8+C12</f>
        <v>1.6094254462149182</v>
      </c>
      <c r="E16" s="19" t="s">
        <v>39</v>
      </c>
      <c r="F16" s="20">
        <f ca="1">NOW()+15018.5+$C$5/24</f>
        <v>60332.687670717591</v>
      </c>
    </row>
    <row r="17" spans="1:31" ht="13.5" thickBot="1" x14ac:dyDescent="0.25">
      <c r="A17" s="19" t="s">
        <v>34</v>
      </c>
      <c r="B17" s="15"/>
      <c r="C17" s="15">
        <f>COUNT(C21:C2190)</f>
        <v>14</v>
      </c>
      <c r="E17" s="19" t="s">
        <v>47</v>
      </c>
      <c r="F17" s="20">
        <f ca="1">ROUND(2*(F16-$C$7)/$C$8,0)/2+F15</f>
        <v>17128</v>
      </c>
    </row>
    <row r="18" spans="1:31" ht="14.25" thickTop="1" thickBot="1" x14ac:dyDescent="0.25">
      <c r="A18" s="21" t="s">
        <v>5</v>
      </c>
      <c r="B18" s="15"/>
      <c r="C18" s="24">
        <f ca="1">+C15</f>
        <v>56568.432619039064</v>
      </c>
      <c r="D18" s="25">
        <f ca="1">+C16</f>
        <v>1.6094254462149182</v>
      </c>
      <c r="E18" s="19" t="s">
        <v>40</v>
      </c>
      <c r="F18" s="12">
        <f ca="1">ROUND(2*(F16-$C$15)/$C$16,0)/2+F15</f>
        <v>2340</v>
      </c>
    </row>
    <row r="19" spans="1:31" ht="13.5" thickTop="1" x14ac:dyDescent="0.2">
      <c r="E19" s="19" t="s">
        <v>41</v>
      </c>
      <c r="F19" s="23">
        <f ca="1">+$C$15+$C$16*F18-15018.5-$C$5/24</f>
        <v>45316.383996515309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58</v>
      </c>
      <c r="I20" s="9" t="s">
        <v>61</v>
      </c>
      <c r="J20" s="9" t="s">
        <v>55</v>
      </c>
      <c r="K20" s="9" t="s">
        <v>53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9" t="s">
        <v>125</v>
      </c>
    </row>
    <row r="21" spans="1:31" x14ac:dyDescent="0.2">
      <c r="A21" t="s">
        <v>12</v>
      </c>
      <c r="C21" s="26">
        <v>32768.387999999999</v>
      </c>
      <c r="D21" s="26" t="s">
        <v>14</v>
      </c>
      <c r="E21">
        <f t="shared" ref="E21:E34" si="0">+(C21-C$7)/C$8</f>
        <v>0</v>
      </c>
      <c r="F21">
        <f t="shared" ref="F21:F34" si="1">ROUND(2*E21,0)/2</f>
        <v>0</v>
      </c>
      <c r="H21" s="12">
        <v>0</v>
      </c>
      <c r="Q21" s="2">
        <f t="shared" ref="Q21:Q34" si="2">+C21-15018.5</f>
        <v>17749.887999999999</v>
      </c>
    </row>
    <row r="22" spans="1:31" x14ac:dyDescent="0.2">
      <c r="A22" t="s">
        <v>29</v>
      </c>
      <c r="C22" s="26">
        <v>50251.438999999998</v>
      </c>
      <c r="D22" s="26">
        <v>1.6999999999999999E-3</v>
      </c>
      <c r="E22">
        <f t="shared" si="0"/>
        <v>10862.998496967528</v>
      </c>
      <c r="F22">
        <f t="shared" si="1"/>
        <v>10863</v>
      </c>
      <c r="G22">
        <f t="shared" ref="G22:G33" si="3">+C22-(C$7+F22*C$8)</f>
        <v>-2.4189999967347831E-3</v>
      </c>
      <c r="J22">
        <f>+G22</f>
        <v>-2.4189999967347831E-3</v>
      </c>
      <c r="O22">
        <f t="shared" ref="O22:O34" ca="1" si="4">+C$11+C$12*F22</f>
        <v>-3.6763544915838775E-3</v>
      </c>
      <c r="Q22" s="2">
        <f t="shared" si="2"/>
        <v>35232.938999999998</v>
      </c>
      <c r="AA22">
        <v>10</v>
      </c>
      <c r="AC22" t="s">
        <v>28</v>
      </c>
      <c r="AE22" t="s">
        <v>30</v>
      </c>
    </row>
    <row r="23" spans="1:31" x14ac:dyDescent="0.2">
      <c r="A23" t="s">
        <v>29</v>
      </c>
      <c r="C23" s="26">
        <v>50251.439100000003</v>
      </c>
      <c r="D23" s="26">
        <v>1.6999999999999999E-3</v>
      </c>
      <c r="E23">
        <f t="shared" si="0"/>
        <v>10862.998559101987</v>
      </c>
      <c r="F23">
        <f t="shared" si="1"/>
        <v>10863</v>
      </c>
      <c r="G23">
        <f t="shared" si="3"/>
        <v>-2.3189999919850379E-3</v>
      </c>
      <c r="J23">
        <f>+G23</f>
        <v>-2.3189999919850379E-3</v>
      </c>
      <c r="O23">
        <f t="shared" ca="1" si="4"/>
        <v>-3.6763544915838775E-3</v>
      </c>
      <c r="Q23" s="2">
        <f t="shared" si="2"/>
        <v>35232.939100000003</v>
      </c>
      <c r="AA23">
        <v>10</v>
      </c>
      <c r="AC23" t="s">
        <v>28</v>
      </c>
      <c r="AE23" t="s">
        <v>30</v>
      </c>
    </row>
    <row r="24" spans="1:31" x14ac:dyDescent="0.2">
      <c r="A24" t="s">
        <v>31</v>
      </c>
      <c r="C24" s="26">
        <v>50771.282700000003</v>
      </c>
      <c r="D24" s="26">
        <v>1.8E-3</v>
      </c>
      <c r="E24">
        <f t="shared" si="0"/>
        <v>11186.000548025899</v>
      </c>
      <c r="F24">
        <f t="shared" si="1"/>
        <v>11186</v>
      </c>
      <c r="G24">
        <f t="shared" si="3"/>
        <v>8.820000002742745E-4</v>
      </c>
      <c r="J24">
        <f>+G24</f>
        <v>8.820000002742745E-4</v>
      </c>
      <c r="O24">
        <f t="shared" ca="1" si="4"/>
        <v>3.4377292702683637E-4</v>
      </c>
      <c r="Q24" s="2">
        <f t="shared" si="2"/>
        <v>35752.782700000003</v>
      </c>
      <c r="AA24">
        <v>11</v>
      </c>
      <c r="AC24" t="s">
        <v>28</v>
      </c>
      <c r="AE24" t="s">
        <v>30</v>
      </c>
    </row>
    <row r="25" spans="1:31" x14ac:dyDescent="0.2">
      <c r="A25" s="10" t="s">
        <v>32</v>
      </c>
      <c r="B25" s="11" t="s">
        <v>33</v>
      </c>
      <c r="C25" s="27">
        <v>52105.493399999999</v>
      </c>
      <c r="D25" s="27">
        <v>2.2000000000000001E-3</v>
      </c>
      <c r="E25">
        <f t="shared" si="0"/>
        <v>12015.005098132053</v>
      </c>
      <c r="F25">
        <f t="shared" si="1"/>
        <v>12015</v>
      </c>
      <c r="G25">
        <f t="shared" si="3"/>
        <v>8.2049999982700683E-3</v>
      </c>
      <c r="K25">
        <f>+G25</f>
        <v>8.2049999982700683E-3</v>
      </c>
      <c r="O25">
        <f t="shared" ca="1" si="4"/>
        <v>1.0661685094297046E-2</v>
      </c>
      <c r="Q25" s="2">
        <f t="shared" si="2"/>
        <v>37086.993399999999</v>
      </c>
      <c r="R25" t="s">
        <v>53</v>
      </c>
    </row>
    <row r="26" spans="1:31" x14ac:dyDescent="0.2">
      <c r="A26" s="10" t="s">
        <v>32</v>
      </c>
      <c r="B26" s="11" t="s">
        <v>33</v>
      </c>
      <c r="C26" s="27">
        <v>52908.597399999999</v>
      </c>
      <c r="D26" s="27">
        <v>4.4000000000000003E-3</v>
      </c>
      <c r="E26">
        <f t="shared" si="0"/>
        <v>12514.009393486942</v>
      </c>
      <c r="F26">
        <f t="shared" si="1"/>
        <v>12514</v>
      </c>
      <c r="G26">
        <f t="shared" si="3"/>
        <v>1.5117999995709397E-2</v>
      </c>
      <c r="K26">
        <f>+G26</f>
        <v>1.5117999995709397E-2</v>
      </c>
      <c r="O26">
        <f t="shared" ca="1" si="4"/>
        <v>1.6872346338528438E-2</v>
      </c>
      <c r="Q26" s="2">
        <f t="shared" si="2"/>
        <v>37890.097399999999</v>
      </c>
      <c r="R26" t="s">
        <v>53</v>
      </c>
    </row>
    <row r="27" spans="1:31" x14ac:dyDescent="0.2">
      <c r="A27" s="28" t="s">
        <v>42</v>
      </c>
      <c r="B27" s="11" t="s">
        <v>33</v>
      </c>
      <c r="C27" s="29">
        <v>54000.5939</v>
      </c>
      <c r="D27" s="29">
        <v>1.1000000000000001E-3</v>
      </c>
      <c r="E27">
        <f t="shared" si="0"/>
        <v>13192.515469925993</v>
      </c>
      <c r="F27">
        <f t="shared" si="1"/>
        <v>13192.5</v>
      </c>
      <c r="G27">
        <f t="shared" si="3"/>
        <v>2.4897499999497086E-2</v>
      </c>
      <c r="J27">
        <f>+G27</f>
        <v>2.4897499999497086E-2</v>
      </c>
      <c r="O27">
        <f t="shared" ca="1" si="4"/>
        <v>2.5317103160594573E-2</v>
      </c>
      <c r="Q27" s="2">
        <f t="shared" si="2"/>
        <v>38982.0939</v>
      </c>
      <c r="R27" t="s">
        <v>55</v>
      </c>
    </row>
    <row r="28" spans="1:31" x14ac:dyDescent="0.2">
      <c r="A28" s="31" t="s">
        <v>44</v>
      </c>
      <c r="B28" s="5" t="s">
        <v>33</v>
      </c>
      <c r="C28" s="29">
        <v>54096.355100000001</v>
      </c>
      <c r="D28" s="29">
        <v>6.9999999999999999E-4</v>
      </c>
      <c r="E28">
        <f t="shared" si="0"/>
        <v>13252.016169870631</v>
      </c>
      <c r="F28">
        <f t="shared" si="1"/>
        <v>13252</v>
      </c>
      <c r="G28">
        <f t="shared" si="3"/>
        <v>2.6024000006145798E-2</v>
      </c>
      <c r="K28">
        <f>+G28</f>
        <v>2.6024000006145798E-2</v>
      </c>
      <c r="O28">
        <f t="shared" ca="1" si="4"/>
        <v>2.6057652948233395E-2</v>
      </c>
      <c r="Q28" s="2">
        <f t="shared" si="2"/>
        <v>39077.855100000001</v>
      </c>
      <c r="R28" t="s">
        <v>126</v>
      </c>
    </row>
    <row r="29" spans="1:31" x14ac:dyDescent="0.2">
      <c r="A29" s="30" t="s">
        <v>43</v>
      </c>
      <c r="B29" s="11"/>
      <c r="C29" s="29">
        <v>54244.421000000002</v>
      </c>
      <c r="D29" s="29">
        <v>5.9999999999999995E-4</v>
      </c>
      <c r="E29">
        <f t="shared" si="0"/>
        <v>13344.016110221555</v>
      </c>
      <c r="F29">
        <f t="shared" si="1"/>
        <v>13344</v>
      </c>
      <c r="G29">
        <f t="shared" si="3"/>
        <v>2.5928000002750196E-2</v>
      </c>
      <c r="J29">
        <f>+G29</f>
        <v>2.5928000002750196E-2</v>
      </c>
      <c r="O29">
        <f t="shared" ca="1" si="4"/>
        <v>2.7202704720716925E-2</v>
      </c>
      <c r="Q29" s="2">
        <f t="shared" si="2"/>
        <v>39225.921000000002</v>
      </c>
      <c r="R29" t="s">
        <v>55</v>
      </c>
    </row>
    <row r="30" spans="1:31" x14ac:dyDescent="0.2">
      <c r="A30" s="57" t="s">
        <v>102</v>
      </c>
      <c r="B30" s="58" t="s">
        <v>33</v>
      </c>
      <c r="C30" s="57">
        <v>54738.5147</v>
      </c>
      <c r="D30" s="57" t="s">
        <v>61</v>
      </c>
      <c r="E30">
        <f t="shared" si="0"/>
        <v>13651.018539057408</v>
      </c>
      <c r="F30">
        <f t="shared" si="1"/>
        <v>13651</v>
      </c>
      <c r="G30">
        <f t="shared" si="3"/>
        <v>2.9837000001862179E-2</v>
      </c>
      <c r="K30">
        <f>+G30</f>
        <v>2.9837000001862179E-2</v>
      </c>
      <c r="O30">
        <f t="shared" ca="1" si="4"/>
        <v>3.1023692700634847E-2</v>
      </c>
      <c r="Q30" s="2">
        <f t="shared" si="2"/>
        <v>39720.0147</v>
      </c>
    </row>
    <row r="31" spans="1:31" x14ac:dyDescent="0.2">
      <c r="A31" s="37" t="s">
        <v>48</v>
      </c>
      <c r="B31" s="38" t="s">
        <v>33</v>
      </c>
      <c r="C31" s="39">
        <v>55060.401460000001</v>
      </c>
      <c r="D31" s="39">
        <v>1E-4</v>
      </c>
      <c r="E31">
        <f t="shared" si="0"/>
        <v>13851.021123850747</v>
      </c>
      <c r="F31">
        <f t="shared" si="1"/>
        <v>13851</v>
      </c>
      <c r="G31">
        <f t="shared" si="3"/>
        <v>3.3996999998635147E-2</v>
      </c>
      <c r="K31">
        <f>+G31</f>
        <v>3.3996999998635147E-2</v>
      </c>
      <c r="O31">
        <f t="shared" ca="1" si="4"/>
        <v>3.3512935684294726E-2</v>
      </c>
      <c r="Q31" s="2">
        <f t="shared" si="2"/>
        <v>40041.901460000001</v>
      </c>
      <c r="R31" t="s">
        <v>127</v>
      </c>
    </row>
    <row r="32" spans="1:31" x14ac:dyDescent="0.2">
      <c r="A32" s="43" t="s">
        <v>50</v>
      </c>
      <c r="B32" s="43"/>
      <c r="C32" s="36">
        <v>55480.463000000003</v>
      </c>
      <c r="D32" s="36">
        <v>1.1000000000000001E-3</v>
      </c>
      <c r="E32">
        <f t="shared" si="0"/>
        <v>14112.024073373339</v>
      </c>
      <c r="F32">
        <f t="shared" si="1"/>
        <v>14112</v>
      </c>
      <c r="G32">
        <f t="shared" si="3"/>
        <v>3.8744000004953705E-2</v>
      </c>
      <c r="J32">
        <f>+G32</f>
        <v>3.8744000004953705E-2</v>
      </c>
      <c r="O32">
        <f t="shared" ca="1" si="4"/>
        <v>3.6761397777970883E-2</v>
      </c>
      <c r="Q32" s="2">
        <f t="shared" si="2"/>
        <v>40461.963000000003</v>
      </c>
      <c r="R32" t="s">
        <v>55</v>
      </c>
    </row>
    <row r="33" spans="1:21" x14ac:dyDescent="0.2">
      <c r="A33" s="57" t="s">
        <v>118</v>
      </c>
      <c r="B33" s="58" t="s">
        <v>124</v>
      </c>
      <c r="C33" s="57">
        <v>55801.5429</v>
      </c>
      <c r="D33" s="57" t="s">
        <v>61</v>
      </c>
      <c r="E33">
        <f t="shared" si="0"/>
        <v>14311.52532010118</v>
      </c>
      <c r="F33">
        <f t="shared" si="1"/>
        <v>14311.5</v>
      </c>
      <c r="G33">
        <f t="shared" si="3"/>
        <v>4.0750500003923662E-2</v>
      </c>
      <c r="K33">
        <f>+G33</f>
        <v>4.0750500003923662E-2</v>
      </c>
      <c r="O33">
        <f t="shared" ca="1" si="4"/>
        <v>3.9244417654171609E-2</v>
      </c>
      <c r="Q33" s="2">
        <f t="shared" si="2"/>
        <v>40783.0429</v>
      </c>
    </row>
    <row r="34" spans="1:21" x14ac:dyDescent="0.2">
      <c r="A34" s="40" t="s">
        <v>49</v>
      </c>
      <c r="B34" s="41" t="s">
        <v>33</v>
      </c>
      <c r="C34" s="39">
        <v>56568.446600000003</v>
      </c>
      <c r="D34" s="42">
        <v>1.1999999999999999E-3</v>
      </c>
      <c r="E34">
        <f t="shared" si="0"/>
        <v>14788.03675625834</v>
      </c>
      <c r="F34">
        <f t="shared" si="1"/>
        <v>14788</v>
      </c>
      <c r="O34">
        <f t="shared" ca="1" si="4"/>
        <v>4.5175039062741285E-2</v>
      </c>
      <c r="Q34" s="2">
        <f t="shared" si="2"/>
        <v>41549.946600000003</v>
      </c>
      <c r="R34" t="s">
        <v>55</v>
      </c>
      <c r="U34">
        <f>+C34-(C$7+F34*C$8)</f>
        <v>5.915600000298582E-2</v>
      </c>
    </row>
    <row r="35" spans="1:21" x14ac:dyDescent="0.2">
      <c r="B35" s="5"/>
      <c r="C35" s="26"/>
      <c r="D35" s="26"/>
    </row>
    <row r="36" spans="1:21" x14ac:dyDescent="0.2">
      <c r="C36" s="26"/>
      <c r="D36" s="26"/>
    </row>
    <row r="37" spans="1:21" x14ac:dyDescent="0.2">
      <c r="C37" s="26"/>
      <c r="D37" s="26"/>
    </row>
    <row r="38" spans="1:21" x14ac:dyDescent="0.2">
      <c r="C38" s="26"/>
      <c r="D38" s="26"/>
    </row>
    <row r="39" spans="1:21" x14ac:dyDescent="0.2">
      <c r="C39" s="26"/>
      <c r="D39" s="26"/>
    </row>
    <row r="40" spans="1:21" x14ac:dyDescent="0.2">
      <c r="C40" s="26"/>
      <c r="D40" s="26"/>
    </row>
    <row r="41" spans="1:21" x14ac:dyDescent="0.2">
      <c r="C41" s="26"/>
      <c r="D41" s="26"/>
    </row>
    <row r="42" spans="1:21" x14ac:dyDescent="0.2">
      <c r="C42" s="26"/>
      <c r="D42" s="26"/>
    </row>
    <row r="43" spans="1:21" x14ac:dyDescent="0.2">
      <c r="C43" s="26"/>
      <c r="D43" s="26"/>
    </row>
    <row r="44" spans="1:21" x14ac:dyDescent="0.2">
      <c r="D44" s="5"/>
    </row>
    <row r="45" spans="1:21" x14ac:dyDescent="0.2">
      <c r="D45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2"/>
  <sheetViews>
    <sheetView topLeftCell="A2" workbookViewId="0">
      <selection activeCell="A20" sqref="A20:D22"/>
    </sheetView>
  </sheetViews>
  <sheetFormatPr defaultRowHeight="12.75" x14ac:dyDescent="0.2"/>
  <cols>
    <col min="1" max="1" width="19.7109375" style="29" customWidth="1"/>
    <col min="2" max="2" width="4.42578125" style="15" customWidth="1"/>
    <col min="3" max="3" width="12.7109375" style="29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29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44" t="s">
        <v>51</v>
      </c>
      <c r="I1" s="45" t="s">
        <v>52</v>
      </c>
      <c r="J1" s="46" t="s">
        <v>53</v>
      </c>
    </row>
    <row r="2" spans="1:16" x14ac:dyDescent="0.2">
      <c r="I2" s="47" t="s">
        <v>54</v>
      </c>
      <c r="J2" s="48" t="s">
        <v>55</v>
      </c>
    </row>
    <row r="3" spans="1:16" x14ac:dyDescent="0.2">
      <c r="A3" s="49" t="s">
        <v>56</v>
      </c>
      <c r="I3" s="47" t="s">
        <v>57</v>
      </c>
      <c r="J3" s="48" t="s">
        <v>58</v>
      </c>
    </row>
    <row r="4" spans="1:16" x14ac:dyDescent="0.2">
      <c r="I4" s="47" t="s">
        <v>59</v>
      </c>
      <c r="J4" s="48" t="s">
        <v>58</v>
      </c>
    </row>
    <row r="5" spans="1:16" ht="13.5" thickBot="1" x14ac:dyDescent="0.25">
      <c r="I5" s="50" t="s">
        <v>60</v>
      </c>
      <c r="J5" s="51" t="s">
        <v>61</v>
      </c>
    </row>
    <row r="10" spans="1:16" ht="13.5" thickBot="1" x14ac:dyDescent="0.25"/>
    <row r="11" spans="1:16" ht="12.75" customHeight="1" thickBot="1" x14ac:dyDescent="0.25">
      <c r="A11" s="29" t="str">
        <f t="shared" ref="A11:A22" si="0">P11</f>
        <v> BBS 112 </v>
      </c>
      <c r="B11" s="5" t="str">
        <f t="shared" ref="B11:B22" si="1">IF(H11=INT(H11),"I","II")</f>
        <v>I</v>
      </c>
      <c r="C11" s="29">
        <f t="shared" ref="C11:C22" si="2">1*G11</f>
        <v>50251.439100000003</v>
      </c>
      <c r="D11" s="15" t="str">
        <f t="shared" ref="D11:D22" si="3">VLOOKUP(F11,I$1:J$5,2,FALSE)</f>
        <v>vis</v>
      </c>
      <c r="E11" s="52">
        <f>VLOOKUP(C11,Active!C$21:E$972,3,FALSE)</f>
        <v>10862.998559101987</v>
      </c>
      <c r="F11" s="5" t="s">
        <v>60</v>
      </c>
      <c r="G11" s="15" t="str">
        <f t="shared" ref="G11:G22" si="4">MID(I11,3,LEN(I11)-3)</f>
        <v>50251.4391</v>
      </c>
      <c r="H11" s="29">
        <f t="shared" ref="H11:H22" si="5">1*K11</f>
        <v>10863</v>
      </c>
      <c r="I11" s="53" t="s">
        <v>62</v>
      </c>
      <c r="J11" s="54" t="s">
        <v>63</v>
      </c>
      <c r="K11" s="53">
        <v>10863</v>
      </c>
      <c r="L11" s="53" t="s">
        <v>64</v>
      </c>
      <c r="M11" s="54" t="s">
        <v>65</v>
      </c>
      <c r="N11" s="54" t="s">
        <v>66</v>
      </c>
      <c r="O11" s="55" t="s">
        <v>67</v>
      </c>
      <c r="P11" s="55" t="s">
        <v>68</v>
      </c>
    </row>
    <row r="12" spans="1:16" ht="12.75" customHeight="1" thickBot="1" x14ac:dyDescent="0.25">
      <c r="A12" s="29" t="str">
        <f t="shared" si="0"/>
        <v> BBS 116 </v>
      </c>
      <c r="B12" s="5" t="str">
        <f t="shared" si="1"/>
        <v>I</v>
      </c>
      <c r="C12" s="29">
        <f t="shared" si="2"/>
        <v>50771.282700000003</v>
      </c>
      <c r="D12" s="15" t="str">
        <f t="shared" si="3"/>
        <v>vis</v>
      </c>
      <c r="E12" s="52">
        <f>VLOOKUP(C12,Active!C$21:E$972,3,FALSE)</f>
        <v>11186.000548025899</v>
      </c>
      <c r="F12" s="5" t="s">
        <v>60</v>
      </c>
      <c r="G12" s="15" t="str">
        <f t="shared" si="4"/>
        <v>50771.2827</v>
      </c>
      <c r="H12" s="29">
        <f t="shared" si="5"/>
        <v>11186</v>
      </c>
      <c r="I12" s="53" t="s">
        <v>69</v>
      </c>
      <c r="J12" s="54" t="s">
        <v>70</v>
      </c>
      <c r="K12" s="53">
        <v>11186</v>
      </c>
      <c r="L12" s="53" t="s">
        <v>71</v>
      </c>
      <c r="M12" s="54" t="s">
        <v>65</v>
      </c>
      <c r="N12" s="54" t="s">
        <v>66</v>
      </c>
      <c r="O12" s="55" t="s">
        <v>67</v>
      </c>
      <c r="P12" s="55" t="s">
        <v>72</v>
      </c>
    </row>
    <row r="13" spans="1:16" ht="12.75" customHeight="1" thickBot="1" x14ac:dyDescent="0.25">
      <c r="A13" s="29" t="str">
        <f t="shared" si="0"/>
        <v>IBVS 5583 </v>
      </c>
      <c r="B13" s="5" t="str">
        <f t="shared" si="1"/>
        <v>I</v>
      </c>
      <c r="C13" s="29">
        <f t="shared" si="2"/>
        <v>52105.493399999999</v>
      </c>
      <c r="D13" s="15" t="str">
        <f t="shared" si="3"/>
        <v>vis</v>
      </c>
      <c r="E13" s="52">
        <f>VLOOKUP(C13,Active!C$21:E$972,3,FALSE)</f>
        <v>12015.005098132053</v>
      </c>
      <c r="F13" s="5" t="s">
        <v>60</v>
      </c>
      <c r="G13" s="15" t="str">
        <f t="shared" si="4"/>
        <v>52105.4934</v>
      </c>
      <c r="H13" s="29">
        <f t="shared" si="5"/>
        <v>12015</v>
      </c>
      <c r="I13" s="53" t="s">
        <v>73</v>
      </c>
      <c r="J13" s="54" t="s">
        <v>74</v>
      </c>
      <c r="K13" s="53">
        <v>12015</v>
      </c>
      <c r="L13" s="53" t="s">
        <v>75</v>
      </c>
      <c r="M13" s="54" t="s">
        <v>65</v>
      </c>
      <c r="N13" s="54" t="s">
        <v>66</v>
      </c>
      <c r="O13" s="55" t="s">
        <v>76</v>
      </c>
      <c r="P13" s="56" t="s">
        <v>77</v>
      </c>
    </row>
    <row r="14" spans="1:16" ht="12.75" customHeight="1" thickBot="1" x14ac:dyDescent="0.25">
      <c r="A14" s="29" t="str">
        <f t="shared" si="0"/>
        <v>IBVS 5583 </v>
      </c>
      <c r="B14" s="5" t="str">
        <f t="shared" si="1"/>
        <v>I</v>
      </c>
      <c r="C14" s="29">
        <f t="shared" si="2"/>
        <v>52908.597399999999</v>
      </c>
      <c r="D14" s="15" t="str">
        <f t="shared" si="3"/>
        <v>vis</v>
      </c>
      <c r="E14" s="52">
        <f>VLOOKUP(C14,Active!C$21:E$972,3,FALSE)</f>
        <v>12514.009393486942</v>
      </c>
      <c r="F14" s="5" t="s">
        <v>60</v>
      </c>
      <c r="G14" s="15" t="str">
        <f t="shared" si="4"/>
        <v>52908.5974</v>
      </c>
      <c r="H14" s="29">
        <f t="shared" si="5"/>
        <v>12514</v>
      </c>
      <c r="I14" s="53" t="s">
        <v>78</v>
      </c>
      <c r="J14" s="54" t="s">
        <v>79</v>
      </c>
      <c r="K14" s="53">
        <v>12514</v>
      </c>
      <c r="L14" s="53" t="s">
        <v>80</v>
      </c>
      <c r="M14" s="54" t="s">
        <v>65</v>
      </c>
      <c r="N14" s="54" t="s">
        <v>66</v>
      </c>
      <c r="O14" s="55" t="s">
        <v>76</v>
      </c>
      <c r="P14" s="56" t="s">
        <v>77</v>
      </c>
    </row>
    <row r="15" spans="1:16" ht="12.75" customHeight="1" thickBot="1" x14ac:dyDescent="0.25">
      <c r="A15" s="29" t="str">
        <f t="shared" si="0"/>
        <v>BAVM 183 </v>
      </c>
      <c r="B15" s="5" t="str">
        <f t="shared" si="1"/>
        <v>II</v>
      </c>
      <c r="C15" s="29">
        <f t="shared" si="2"/>
        <v>54000.5939</v>
      </c>
      <c r="D15" s="15" t="str">
        <f t="shared" si="3"/>
        <v>vis</v>
      </c>
      <c r="E15" s="52">
        <f>VLOOKUP(C15,Active!C$21:E$972,3,FALSE)</f>
        <v>13192.515469925993</v>
      </c>
      <c r="F15" s="5" t="s">
        <v>60</v>
      </c>
      <c r="G15" s="15" t="str">
        <f t="shared" si="4"/>
        <v>54000.5939</v>
      </c>
      <c r="H15" s="29">
        <f t="shared" si="5"/>
        <v>13192.5</v>
      </c>
      <c r="I15" s="53" t="s">
        <v>81</v>
      </c>
      <c r="J15" s="54" t="s">
        <v>82</v>
      </c>
      <c r="K15" s="53">
        <v>13192.5</v>
      </c>
      <c r="L15" s="53" t="s">
        <v>83</v>
      </c>
      <c r="M15" s="54" t="s">
        <v>84</v>
      </c>
      <c r="N15" s="54" t="s">
        <v>85</v>
      </c>
      <c r="O15" s="55" t="s">
        <v>86</v>
      </c>
      <c r="P15" s="56" t="s">
        <v>87</v>
      </c>
    </row>
    <row r="16" spans="1:16" ht="12.75" customHeight="1" thickBot="1" x14ac:dyDescent="0.25">
      <c r="A16" s="29" t="str">
        <f t="shared" si="0"/>
        <v> BBS 133 (=IBVS 5781) </v>
      </c>
      <c r="B16" s="5" t="str">
        <f t="shared" si="1"/>
        <v>I</v>
      </c>
      <c r="C16" s="29">
        <f t="shared" si="2"/>
        <v>54096.355100000001</v>
      </c>
      <c r="D16" s="15" t="str">
        <f t="shared" si="3"/>
        <v>vis</v>
      </c>
      <c r="E16" s="52">
        <f>VLOOKUP(C16,Active!C$21:E$972,3,FALSE)</f>
        <v>13252.016169870631</v>
      </c>
      <c r="F16" s="5" t="s">
        <v>60</v>
      </c>
      <c r="G16" s="15" t="str">
        <f t="shared" si="4"/>
        <v>54096.3551</v>
      </c>
      <c r="H16" s="29">
        <f t="shared" si="5"/>
        <v>13252</v>
      </c>
      <c r="I16" s="53" t="s">
        <v>88</v>
      </c>
      <c r="J16" s="54" t="s">
        <v>89</v>
      </c>
      <c r="K16" s="53" t="s">
        <v>90</v>
      </c>
      <c r="L16" s="53" t="s">
        <v>91</v>
      </c>
      <c r="M16" s="54" t="s">
        <v>84</v>
      </c>
      <c r="N16" s="54" t="s">
        <v>60</v>
      </c>
      <c r="O16" s="55" t="s">
        <v>67</v>
      </c>
      <c r="P16" s="55" t="s">
        <v>92</v>
      </c>
    </row>
    <row r="17" spans="1:16" ht="12.75" customHeight="1" thickBot="1" x14ac:dyDescent="0.25">
      <c r="A17" s="29" t="str">
        <f t="shared" si="0"/>
        <v>BAVM 186 </v>
      </c>
      <c r="B17" s="5" t="str">
        <f t="shared" si="1"/>
        <v>I</v>
      </c>
      <c r="C17" s="29">
        <f t="shared" si="2"/>
        <v>54244.421000000002</v>
      </c>
      <c r="D17" s="15" t="str">
        <f t="shared" si="3"/>
        <v>vis</v>
      </c>
      <c r="E17" s="52">
        <f>VLOOKUP(C17,Active!C$21:E$972,3,FALSE)</f>
        <v>13344.016110221555</v>
      </c>
      <c r="F17" s="5" t="s">
        <v>60</v>
      </c>
      <c r="G17" s="15" t="str">
        <f t="shared" si="4"/>
        <v>54244.4210</v>
      </c>
      <c r="H17" s="29">
        <f t="shared" si="5"/>
        <v>13344</v>
      </c>
      <c r="I17" s="53" t="s">
        <v>93</v>
      </c>
      <c r="J17" s="54" t="s">
        <v>94</v>
      </c>
      <c r="K17" s="53" t="s">
        <v>95</v>
      </c>
      <c r="L17" s="53" t="s">
        <v>96</v>
      </c>
      <c r="M17" s="54" t="s">
        <v>84</v>
      </c>
      <c r="N17" s="54" t="s">
        <v>85</v>
      </c>
      <c r="O17" s="55" t="s">
        <v>86</v>
      </c>
      <c r="P17" s="56" t="s">
        <v>97</v>
      </c>
    </row>
    <row r="18" spans="1:16" ht="12.75" customHeight="1" thickBot="1" x14ac:dyDescent="0.25">
      <c r="A18" s="29" t="str">
        <f t="shared" si="0"/>
        <v>BAVM 215 </v>
      </c>
      <c r="B18" s="5" t="str">
        <f t="shared" si="1"/>
        <v>I</v>
      </c>
      <c r="C18" s="29">
        <f t="shared" si="2"/>
        <v>55480.463000000003</v>
      </c>
      <c r="D18" s="15" t="str">
        <f t="shared" si="3"/>
        <v>vis</v>
      </c>
      <c r="E18" s="52">
        <f>VLOOKUP(C18,Active!C$21:E$972,3,FALSE)</f>
        <v>14112.024073373339</v>
      </c>
      <c r="F18" s="5" t="s">
        <v>60</v>
      </c>
      <c r="G18" s="15" t="str">
        <f t="shared" si="4"/>
        <v>55480.4630</v>
      </c>
      <c r="H18" s="29">
        <f t="shared" si="5"/>
        <v>14112</v>
      </c>
      <c r="I18" s="53" t="s">
        <v>109</v>
      </c>
      <c r="J18" s="54" t="s">
        <v>110</v>
      </c>
      <c r="K18" s="53" t="s">
        <v>111</v>
      </c>
      <c r="L18" s="53" t="s">
        <v>112</v>
      </c>
      <c r="M18" s="54" t="s">
        <v>84</v>
      </c>
      <c r="N18" s="54" t="s">
        <v>85</v>
      </c>
      <c r="O18" s="55" t="s">
        <v>86</v>
      </c>
      <c r="P18" s="56" t="s">
        <v>113</v>
      </c>
    </row>
    <row r="19" spans="1:16" ht="12.75" customHeight="1" thickBot="1" x14ac:dyDescent="0.25">
      <c r="A19" s="29" t="str">
        <f t="shared" si="0"/>
        <v>BAVM 234 </v>
      </c>
      <c r="B19" s="5" t="str">
        <f t="shared" si="1"/>
        <v>I</v>
      </c>
      <c r="C19" s="29">
        <f t="shared" si="2"/>
        <v>56568.446600000003</v>
      </c>
      <c r="D19" s="15" t="str">
        <f t="shared" si="3"/>
        <v>vis</v>
      </c>
      <c r="E19" s="52">
        <f>VLOOKUP(C19,Active!C$21:E$972,3,FALSE)</f>
        <v>14788.03675625834</v>
      </c>
      <c r="F19" s="5" t="s">
        <v>60</v>
      </c>
      <c r="G19" s="15" t="str">
        <f t="shared" si="4"/>
        <v>56568.4466</v>
      </c>
      <c r="H19" s="29">
        <f t="shared" si="5"/>
        <v>14788</v>
      </c>
      <c r="I19" s="53" t="s">
        <v>119</v>
      </c>
      <c r="J19" s="54" t="s">
        <v>120</v>
      </c>
      <c r="K19" s="53" t="s">
        <v>121</v>
      </c>
      <c r="L19" s="53" t="s">
        <v>122</v>
      </c>
      <c r="M19" s="54" t="s">
        <v>84</v>
      </c>
      <c r="N19" s="54" t="s">
        <v>85</v>
      </c>
      <c r="O19" s="55" t="s">
        <v>86</v>
      </c>
      <c r="P19" s="56" t="s">
        <v>123</v>
      </c>
    </row>
    <row r="20" spans="1:16" ht="12.75" customHeight="1" thickBot="1" x14ac:dyDescent="0.25">
      <c r="A20" s="29" t="str">
        <f t="shared" si="0"/>
        <v>BAVM 203 </v>
      </c>
      <c r="B20" s="5" t="str">
        <f t="shared" si="1"/>
        <v>I</v>
      </c>
      <c r="C20" s="29">
        <f t="shared" si="2"/>
        <v>54738.5147</v>
      </c>
      <c r="D20" s="15" t="str">
        <f t="shared" si="3"/>
        <v>vis</v>
      </c>
      <c r="E20" s="52">
        <f>VLOOKUP(C20,Active!C$21:E$972,3,FALSE)</f>
        <v>13651.018539057408</v>
      </c>
      <c r="F20" s="5" t="s">
        <v>60</v>
      </c>
      <c r="G20" s="15" t="str">
        <f t="shared" si="4"/>
        <v>54738.5147</v>
      </c>
      <c r="H20" s="29">
        <f t="shared" si="5"/>
        <v>13651</v>
      </c>
      <c r="I20" s="53" t="s">
        <v>98</v>
      </c>
      <c r="J20" s="54" t="s">
        <v>99</v>
      </c>
      <c r="K20" s="53" t="s">
        <v>100</v>
      </c>
      <c r="L20" s="53" t="s">
        <v>101</v>
      </c>
      <c r="M20" s="54" t="s">
        <v>84</v>
      </c>
      <c r="N20" s="54" t="s">
        <v>85</v>
      </c>
      <c r="O20" s="55" t="s">
        <v>86</v>
      </c>
      <c r="P20" s="56" t="s">
        <v>102</v>
      </c>
    </row>
    <row r="21" spans="1:16" ht="12.75" customHeight="1" thickBot="1" x14ac:dyDescent="0.25">
      <c r="A21" s="29" t="str">
        <f t="shared" si="0"/>
        <v>OEJV 0137 </v>
      </c>
      <c r="B21" s="5" t="str">
        <f t="shared" si="1"/>
        <v>I</v>
      </c>
      <c r="C21" s="29">
        <f t="shared" si="2"/>
        <v>55060.401400000002</v>
      </c>
      <c r="D21" s="15" t="str">
        <f t="shared" si="3"/>
        <v>vis</v>
      </c>
      <c r="E21" s="52" t="e">
        <f>VLOOKUP(C21,Active!C$21:E$972,3,FALSE)</f>
        <v>#N/A</v>
      </c>
      <c r="F21" s="5" t="s">
        <v>60</v>
      </c>
      <c r="G21" s="15" t="str">
        <f t="shared" si="4"/>
        <v>55060.4014</v>
      </c>
      <c r="H21" s="29">
        <f t="shared" si="5"/>
        <v>13851</v>
      </c>
      <c r="I21" s="53" t="s">
        <v>103</v>
      </c>
      <c r="J21" s="54" t="s">
        <v>104</v>
      </c>
      <c r="K21" s="53" t="s">
        <v>105</v>
      </c>
      <c r="L21" s="53" t="s">
        <v>106</v>
      </c>
      <c r="M21" s="54" t="s">
        <v>84</v>
      </c>
      <c r="N21" s="54" t="s">
        <v>52</v>
      </c>
      <c r="O21" s="55" t="s">
        <v>107</v>
      </c>
      <c r="P21" s="56" t="s">
        <v>108</v>
      </c>
    </row>
    <row r="22" spans="1:16" ht="12.75" customHeight="1" thickBot="1" x14ac:dyDescent="0.25">
      <c r="A22" s="29" t="str">
        <f t="shared" si="0"/>
        <v>BAVM 225 </v>
      </c>
      <c r="B22" s="5" t="str">
        <f t="shared" si="1"/>
        <v>II</v>
      </c>
      <c r="C22" s="29">
        <f t="shared" si="2"/>
        <v>55801.5429</v>
      </c>
      <c r="D22" s="15" t="str">
        <f t="shared" si="3"/>
        <v>vis</v>
      </c>
      <c r="E22" s="52">
        <f>VLOOKUP(C22,Active!C$21:E$972,3,FALSE)</f>
        <v>14311.52532010118</v>
      </c>
      <c r="F22" s="5" t="s">
        <v>60</v>
      </c>
      <c r="G22" s="15" t="str">
        <f t="shared" si="4"/>
        <v>55801.5429</v>
      </c>
      <c r="H22" s="29">
        <f t="shared" si="5"/>
        <v>14311.5</v>
      </c>
      <c r="I22" s="53" t="s">
        <v>114</v>
      </c>
      <c r="J22" s="54" t="s">
        <v>115</v>
      </c>
      <c r="K22" s="53" t="s">
        <v>116</v>
      </c>
      <c r="L22" s="53" t="s">
        <v>117</v>
      </c>
      <c r="M22" s="54" t="s">
        <v>84</v>
      </c>
      <c r="N22" s="54" t="s">
        <v>85</v>
      </c>
      <c r="O22" s="55" t="s">
        <v>86</v>
      </c>
      <c r="P22" s="56" t="s">
        <v>118</v>
      </c>
    </row>
    <row r="23" spans="1:16" x14ac:dyDescent="0.2">
      <c r="B23" s="5"/>
      <c r="F23" s="5"/>
    </row>
    <row r="24" spans="1:16" x14ac:dyDescent="0.2">
      <c r="B24" s="5"/>
      <c r="F24" s="5"/>
    </row>
    <row r="25" spans="1:16" x14ac:dyDescent="0.2">
      <c r="B25" s="5"/>
      <c r="F25" s="5"/>
    </row>
    <row r="26" spans="1:16" x14ac:dyDescent="0.2">
      <c r="B26" s="5"/>
      <c r="F26" s="5"/>
    </row>
    <row r="27" spans="1:16" x14ac:dyDescent="0.2">
      <c r="B27" s="5"/>
      <c r="F27" s="5"/>
    </row>
    <row r="28" spans="1:16" x14ac:dyDescent="0.2">
      <c r="B28" s="5"/>
      <c r="F28" s="5"/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</sheetData>
  <phoneticPr fontId="7" type="noConversion"/>
  <hyperlinks>
    <hyperlink ref="P13" r:id="rId1" display="http://www.konkoly.hu/cgi-bin/IBVS?5583"/>
    <hyperlink ref="P14" r:id="rId2" display="http://www.konkoly.hu/cgi-bin/IBVS?5583"/>
    <hyperlink ref="P15" r:id="rId3" display="http://www.bav-astro.de/sfs/BAVM_link.php?BAVMnr=183"/>
    <hyperlink ref="P17" r:id="rId4" display="http://www.bav-astro.de/sfs/BAVM_link.php?BAVMnr=186"/>
    <hyperlink ref="P20" r:id="rId5" display="http://www.bav-astro.de/sfs/BAVM_link.php?BAVMnr=203"/>
    <hyperlink ref="P21" r:id="rId6" display="http://var.astro.cz/oejv/issues/oejv0137.pdf"/>
    <hyperlink ref="P18" r:id="rId7" display="http://www.bav-astro.de/sfs/BAVM_link.php?BAVMnr=215"/>
    <hyperlink ref="P22" r:id="rId8" display="http://www.bav-astro.de/sfs/BAVM_link.php?BAVMnr=225"/>
    <hyperlink ref="P19" r:id="rId9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2024-01-23T03:30:14Z</dcterms:modified>
</cp:coreProperties>
</file>