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5467245-1D45-4157-BC91-4077CA346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0" i="1"/>
  <c r="F40" i="1" s="1"/>
  <c r="G40" i="1" s="1"/>
  <c r="K40" i="1" s="1"/>
  <c r="Q40" i="1"/>
  <c r="Q39" i="1"/>
  <c r="Q38" i="1"/>
  <c r="C21" i="1"/>
  <c r="Q36" i="1"/>
  <c r="Q37" i="1"/>
  <c r="E39" i="1"/>
  <c r="F39" i="1" s="1"/>
  <c r="E34" i="1"/>
  <c r="F34" i="1" s="1"/>
  <c r="G34" i="1" s="1"/>
  <c r="K34" i="1" s="1"/>
  <c r="D9" i="1"/>
  <c r="C9" i="1"/>
  <c r="Q30" i="1"/>
  <c r="Q31" i="1"/>
  <c r="Q32" i="1"/>
  <c r="Q33" i="1"/>
  <c r="Q34" i="1"/>
  <c r="Q35" i="1"/>
  <c r="G18" i="2"/>
  <c r="C18" i="2"/>
  <c r="G17" i="2"/>
  <c r="C17" i="2"/>
  <c r="G16" i="2"/>
  <c r="C16" i="2"/>
  <c r="G24" i="2"/>
  <c r="C24" i="2"/>
  <c r="G15" i="2"/>
  <c r="C15" i="2"/>
  <c r="G23" i="2"/>
  <c r="C23" i="2"/>
  <c r="G14" i="2"/>
  <c r="C14" i="2"/>
  <c r="G13" i="2"/>
  <c r="C13" i="2"/>
  <c r="G12" i="2"/>
  <c r="C12" i="2"/>
  <c r="G22" i="2"/>
  <c r="C22" i="2"/>
  <c r="G11" i="2"/>
  <c r="C11" i="2"/>
  <c r="G21" i="2"/>
  <c r="C21" i="2"/>
  <c r="G20" i="2"/>
  <c r="C20" i="2"/>
  <c r="G19" i="2"/>
  <c r="C19" i="2"/>
  <c r="H18" i="2"/>
  <c r="B18" i="2"/>
  <c r="D18" i="2"/>
  <c r="A18" i="2"/>
  <c r="H17" i="2"/>
  <c r="D17" i="2"/>
  <c r="B17" i="2"/>
  <c r="A17" i="2"/>
  <c r="H16" i="2"/>
  <c r="B16" i="2"/>
  <c r="D16" i="2"/>
  <c r="A16" i="2"/>
  <c r="H24" i="2"/>
  <c r="D24" i="2"/>
  <c r="B24" i="2"/>
  <c r="A24" i="2"/>
  <c r="H15" i="2"/>
  <c r="B15" i="2"/>
  <c r="D15" i="2"/>
  <c r="A15" i="2"/>
  <c r="H23" i="2"/>
  <c r="D23" i="2"/>
  <c r="B23" i="2"/>
  <c r="A23" i="2"/>
  <c r="H14" i="2"/>
  <c r="B14" i="2"/>
  <c r="D14" i="2"/>
  <c r="A14" i="2"/>
  <c r="H13" i="2"/>
  <c r="D13" i="2"/>
  <c r="B13" i="2"/>
  <c r="A13" i="2"/>
  <c r="H12" i="2"/>
  <c r="B12" i="2"/>
  <c r="D12" i="2"/>
  <c r="A12" i="2"/>
  <c r="H22" i="2"/>
  <c r="D22" i="2"/>
  <c r="B22" i="2"/>
  <c r="A22" i="2"/>
  <c r="H11" i="2"/>
  <c r="B11" i="2"/>
  <c r="D11" i="2"/>
  <c r="A11" i="2"/>
  <c r="H21" i="2"/>
  <c r="D21" i="2"/>
  <c r="B21" i="2"/>
  <c r="A21" i="2"/>
  <c r="H20" i="2"/>
  <c r="B20" i="2"/>
  <c r="D20" i="2"/>
  <c r="A20" i="2"/>
  <c r="H19" i="2"/>
  <c r="D19" i="2"/>
  <c r="B19" i="2"/>
  <c r="A19" i="2"/>
  <c r="Q29" i="1"/>
  <c r="Q28" i="1"/>
  <c r="Q27" i="1"/>
  <c r="Q24" i="1"/>
  <c r="Q26" i="1"/>
  <c r="F16" i="1"/>
  <c r="Q22" i="1"/>
  <c r="Q25" i="1"/>
  <c r="Q23" i="1"/>
  <c r="E36" i="1" l="1"/>
  <c r="F36" i="1" s="1"/>
  <c r="G36" i="1" s="1"/>
  <c r="K36" i="1" s="1"/>
  <c r="E30" i="1"/>
  <c r="F30" i="1" s="1"/>
  <c r="G30" i="1" s="1"/>
  <c r="I30" i="1" s="1"/>
  <c r="E25" i="1"/>
  <c r="F25" i="1" s="1"/>
  <c r="G25" i="1" s="1"/>
  <c r="J25" i="1" s="1"/>
  <c r="E27" i="1"/>
  <c r="F27" i="1" s="1"/>
  <c r="G27" i="1" s="1"/>
  <c r="J27" i="1" s="1"/>
  <c r="E23" i="1"/>
  <c r="F23" i="1" s="1"/>
  <c r="G23" i="1" s="1"/>
  <c r="J23" i="1" s="1"/>
  <c r="E31" i="1"/>
  <c r="F31" i="1" s="1"/>
  <c r="G31" i="1" s="1"/>
  <c r="I31" i="1" s="1"/>
  <c r="E21" i="1"/>
  <c r="F21" i="1" s="1"/>
  <c r="C17" i="1"/>
  <c r="E37" i="1"/>
  <c r="F37" i="1" s="1"/>
  <c r="G37" i="1" s="1"/>
  <c r="K37" i="1" s="1"/>
  <c r="E14" i="2"/>
  <c r="E23" i="2"/>
  <c r="E16" i="2"/>
  <c r="E22" i="1"/>
  <c r="F22" i="1" s="1"/>
  <c r="U22" i="1" s="1"/>
  <c r="E24" i="1"/>
  <c r="F24" i="1" s="1"/>
  <c r="G24" i="1" s="1"/>
  <c r="I24" i="1" s="1"/>
  <c r="E33" i="1"/>
  <c r="F33" i="1" s="1"/>
  <c r="G33" i="1" s="1"/>
  <c r="I33" i="1" s="1"/>
  <c r="E19" i="2"/>
  <c r="E38" i="1"/>
  <c r="F38" i="1" s="1"/>
  <c r="G38" i="1" s="1"/>
  <c r="K38" i="1" s="1"/>
  <c r="G21" i="1"/>
  <c r="E35" i="1"/>
  <c r="F35" i="1" s="1"/>
  <c r="G35" i="1" s="1"/>
  <c r="K35" i="1" s="1"/>
  <c r="E26" i="1"/>
  <c r="F26" i="1" s="1"/>
  <c r="G26" i="1" s="1"/>
  <c r="K26" i="1" s="1"/>
  <c r="E32" i="1"/>
  <c r="F32" i="1" s="1"/>
  <c r="G32" i="1" s="1"/>
  <c r="I32" i="1" s="1"/>
  <c r="Q21" i="1"/>
  <c r="F17" i="1"/>
  <c r="E13" i="2"/>
  <c r="E17" i="2"/>
  <c r="G39" i="1"/>
  <c r="K39" i="1" s="1"/>
  <c r="E28" i="1"/>
  <c r="F28" i="1" s="1"/>
  <c r="G28" i="1" s="1"/>
  <c r="K28" i="1" s="1"/>
  <c r="E29" i="1"/>
  <c r="F29" i="1" s="1"/>
  <c r="G29" i="1" s="1"/>
  <c r="J29" i="1" s="1"/>
  <c r="C12" i="1"/>
  <c r="C11" i="1"/>
  <c r="E20" i="2" l="1"/>
  <c r="E12" i="2"/>
  <c r="E11" i="2"/>
  <c r="E22" i="2"/>
  <c r="O41" i="1"/>
  <c r="O40" i="1"/>
  <c r="C16" i="1"/>
  <c r="D18" i="1" s="1"/>
  <c r="O30" i="1"/>
  <c r="O35" i="1"/>
  <c r="O29" i="1"/>
  <c r="O39" i="1"/>
  <c r="O34" i="1"/>
  <c r="O32" i="1"/>
  <c r="O23" i="1"/>
  <c r="O22" i="1"/>
  <c r="O26" i="1"/>
  <c r="O37" i="1"/>
  <c r="O27" i="1"/>
  <c r="O36" i="1"/>
  <c r="O33" i="1"/>
  <c r="O21" i="1"/>
  <c r="O38" i="1"/>
  <c r="O28" i="1"/>
  <c r="O24" i="1"/>
  <c r="C15" i="1"/>
  <c r="C18" i="1" s="1"/>
  <c r="O31" i="1"/>
  <c r="O25" i="1"/>
  <c r="E15" i="2"/>
  <c r="E24" i="2"/>
  <c r="E18" i="2"/>
  <c r="E21" i="2"/>
  <c r="F18" i="1" l="1"/>
  <c r="F19" i="1" s="1"/>
</calcChain>
</file>

<file path=xl/sharedStrings.xml><?xml version="1.0" encoding="utf-8"?>
<sst xmlns="http://schemas.openxmlformats.org/spreadsheetml/2006/main" count="213" uniqueCount="138">
  <si>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</si>
  <si>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</si>
  <si>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</si>
  <si>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</si>
  <si>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</si>
  <si>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</si>
  <si>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</si>
  <si>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</si>
  <si>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</si>
  <si>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</si>
  <si>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</si>
  <si>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</si>
  <si>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</si>
  <si>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</si>
  <si>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</si>
  <si>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</si>
  <si>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</si>
  <si>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</si>
  <si>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</si>
  <si>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</si>
  <si>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</si>
  <si>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</si>
  <si>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</si>
  <si>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</si>
  <si>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</si>
  <si>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</si>
  <si>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</si>
  <si>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</si>
  <si>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</si>
  <si>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</si>
  <si>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EA/SD:</t>
  </si>
  <si>
    <t>IBVS 5643</t>
  </si>
  <si>
    <t># of data points:</t>
  </si>
  <si>
    <t>NW Cep / gsc 3986-1874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</si>
  <si>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</si>
  <si>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</si>
  <si>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</si>
  <si>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</si>
  <si>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</si>
  <si>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</si>
  <si>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</si>
  <si>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</si>
  <si>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I</t>
  </si>
  <si>
    <t>Add cycle</t>
  </si>
  <si>
    <t>Old Cycle</t>
  </si>
  <si>
    <t>OEJV 0001</t>
  </si>
  <si>
    <t>vis</t>
  </si>
  <si>
    <t>IBVS 5820</t>
  </si>
  <si>
    <t>IBVS 6070</t>
  </si>
  <si>
    <t>BAD?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</si>
  <si>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</si>
  <si>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</si>
  <si>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</si>
  <si>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</si>
  <si>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</si>
  <si>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</si>
  <si>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</si>
  <si>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</si>
  <si>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</si>
  <si>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</si>
  <si>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</si>
  <si>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</si>
  <si>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</si>
  <si>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2433206.426 </t>
  </si>
  <si>
    <t> 16.10.1949 22:13 </t>
  </si>
  <si>
    <t> -0.001 </t>
  </si>
  <si>
    <t> Miller &amp; Wachmann </t>
  </si>
  <si>
    <t> RIA 8.374 </t>
  </si>
  <si>
    <t>2433853.388 </t>
  </si>
  <si>
    <t> 25.07.1951 21:18 </t>
  </si>
  <si>
    <t> 0.004 </t>
  </si>
  <si>
    <t>2434712.321 </t>
  </si>
  <si>
    <t> 30.11.1953 19:42 </t>
  </si>
  <si>
    <t>2452444.45340 </t>
  </si>
  <si>
    <t> 18.06.2002 22:52 </t>
  </si>
  <si>
    <t> 0.01718 </t>
  </si>
  <si>
    <t>C </t>
  </si>
  <si>
    <t>o</t>
  </si>
  <si>
    <t> J.Šafár </t>
  </si>
  <si>
    <t>OEJV 0074 </t>
  </si>
  <si>
    <t>2452898.33 </t>
  </si>
  <si>
    <t> 15.09.2003 19:55 </t>
  </si>
  <si>
    <t> -0.35 </t>
  </si>
  <si>
    <t>V </t>
  </si>
  <si>
    <t> R.Meyer </t>
  </si>
  <si>
    <t>BAVM 171 </t>
  </si>
  <si>
    <t>2452928.5654 </t>
  </si>
  <si>
    <t> 16.10.2003 01:34 </t>
  </si>
  <si>
    <t> -0.3999 </t>
  </si>
  <si>
    <t>E </t>
  </si>
  <si>
    <t> F.Agerer </t>
  </si>
  <si>
    <t>BAVM 172 </t>
  </si>
  <si>
    <t>2453151.583 </t>
  </si>
  <si>
    <t> 26.05.2004 01:59 </t>
  </si>
  <si>
    <t> -0.376 </t>
  </si>
  <si>
    <t>BAVM 174 </t>
  </si>
  <si>
    <t>2454244.4674 </t>
  </si>
  <si>
    <t> 23.05.2007 23:13 </t>
  </si>
  <si>
    <t> -0.4350 </t>
  </si>
  <si>
    <t>-I</t>
  </si>
  <si>
    <t>BAVM 186 </t>
  </si>
  <si>
    <t>2454357.3526 </t>
  </si>
  <si>
    <t> 13.09.2007 20:27 </t>
  </si>
  <si>
    <t>7448</t>
  </si>
  <si>
    <t> -0.4231 </t>
  </si>
  <si>
    <t>BAVM 193 </t>
  </si>
  <si>
    <t>2454398.6343 </t>
  </si>
  <si>
    <t> 25.10.2007 03:13 </t>
  </si>
  <si>
    <t>7463</t>
  </si>
  <si>
    <t> -0.4365 </t>
  </si>
  <si>
    <t>R</t>
  </si>
  <si>
    <t> R.Nelson </t>
  </si>
  <si>
    <t>IBVS 5820 </t>
  </si>
  <si>
    <t>2455805.3846 </t>
  </si>
  <si>
    <t> 31.08.2011 21:13 </t>
  </si>
  <si>
    <t>7974</t>
  </si>
  <si>
    <t> -0.4724 </t>
  </si>
  <si>
    <t>BAVM 225 </t>
  </si>
  <si>
    <t>2456167.4057 </t>
  </si>
  <si>
    <t> 27.08.2012 21:44 </t>
  </si>
  <si>
    <t>8105.5</t>
  </si>
  <si>
    <t> -0.4717 </t>
  </si>
  <si>
    <t>BAVM 231 </t>
  </si>
  <si>
    <t>2456496.39321 </t>
  </si>
  <si>
    <t> 22.07.2013 21:26 </t>
  </si>
  <si>
    <t>8225</t>
  </si>
  <si>
    <t> -0.46843 </t>
  </si>
  <si>
    <t> M.Urbanik </t>
  </si>
  <si>
    <t>OEJV 0160 </t>
  </si>
  <si>
    <t>2456924.4639 </t>
  </si>
  <si>
    <t> 23.09.2014 23:08 </t>
  </si>
  <si>
    <t>8380.5</t>
  </si>
  <si>
    <t> -0.4902 </t>
  </si>
  <si>
    <t>BAVM 239</t>
  </si>
  <si>
    <t>OEJV 0179</t>
  </si>
  <si>
    <t>JAVSO 49, 108</t>
  </si>
  <si>
    <t>JAAVSO,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</si>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</sst>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10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15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15" fillId="0" borderId="0" xfId="43" applyFont="1" applyAlignment="1">
      <alignment horizontal="left"/>
    </xf>
    <xf numFmtId="0" fontId="15" fillId="0" borderId="0" xfId="43" applyFont="1" applyAlignment="1">
      <alignment horizontal="left" wrapText="1"/>
    </xf>
    <xf numFmtId="0" fontId="6" fillId="0" borderId="0" xfId="0" applyFont="1" applyAlignment="1">
      <alignment horizontal="left"/>
    </xf>
    <xf numFmtId="165" fontId="37" fillId="0" borderId="0" xfId="0" applyNumberFormat="1" applyFont="1" applyAlignment="1">
      <alignment horizontal="left" vertical="center" wrapText="1"/>
    </xf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Cep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  <c:pt idx="20">
                  <c:v>9447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2-40D8-B379-022B28AF4A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  <c:pt idx="20">
                  <c:v>9447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3">
                  <c:v>-0.37586400000145659</c:v>
                </c:pt>
                <c:pt idx="9">
                  <c:v>-1.4959999971324578E-3</c:v>
                </c:pt>
                <c:pt idx="10">
                  <c:v>4.0000000008149073E-3</c:v>
                </c:pt>
                <c:pt idx="11">
                  <c:v>-9.9679999402724206E-4</c:v>
                </c:pt>
                <c:pt idx="12">
                  <c:v>-0.35227519999898504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E2-40D8-B379-022B28AF4A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  <c:pt idx="20">
                  <c:v>9447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">
                  <c:v>-0.39994559999468038</c:v>
                </c:pt>
                <c:pt idx="4">
                  <c:v>-0.43500479999784147</c:v>
                </c:pt>
                <c:pt idx="6">
                  <c:v>-0.47167519999493379</c:v>
                </c:pt>
                <c:pt idx="8">
                  <c:v>-0.49023519999173004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E2-40D8-B379-022B28AF4A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  <c:pt idx="20">
                  <c:v>9447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5">
                  <c:v>-0.43646319999970729</c:v>
                </c:pt>
                <c:pt idx="7">
                  <c:v>-0.46961999999621185</c:v>
                </c:pt>
                <c:pt idx="13">
                  <c:v>-0.42306719999760389</c:v>
                </c:pt>
                <c:pt idx="14">
                  <c:v>-0.47243359999993118</c:v>
                </c:pt>
                <c:pt idx="15">
                  <c:v>-0.49647439999534981</c:v>
                </c:pt>
                <c:pt idx="16">
                  <c:v>-0.5023700000019744</c:v>
                </c:pt>
                <c:pt idx="17">
                  <c:v>-0.51430879999679746</c:v>
                </c:pt>
                <c:pt idx="18">
                  <c:v>-0.54736879999836674</c:v>
                </c:pt>
                <c:pt idx="19">
                  <c:v>-0.55135199999494944</c:v>
                </c:pt>
                <c:pt idx="20">
                  <c:v>-0.5611607999962871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E2-40D8-B379-022B28AF4A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  <c:pt idx="20">
                  <c:v>9447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E2-40D8-B379-022B28AF4A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  <c:pt idx="20">
                  <c:v>9447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E2-40D8-B379-022B28AF4A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  <c:pt idx="20">
                  <c:v>9447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E2-40D8-B379-022B28AF4A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  <c:pt idx="20">
                  <c:v>9447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5.5610220907159058E-3</c:v>
                </c:pt>
                <c:pt idx="1">
                  <c:v>-0.39041813531987679</c:v>
                </c:pt>
                <c:pt idx="2">
                  <c:v>-0.40073833844504553</c:v>
                </c:pt>
                <c:pt idx="3">
                  <c:v>-0.40548797738333336</c:v>
                </c:pt>
                <c:pt idx="4">
                  <c:v>-0.42876707193271962</c:v>
                </c:pt>
                <c:pt idx="5">
                  <c:v>-0.43205077292709149</c:v>
                </c:pt>
                <c:pt idx="6">
                  <c:v>-0.46972537808573295</c:v>
                </c:pt>
                <c:pt idx="7">
                  <c:v>-0.47673256145765147</c:v>
                </c:pt>
                <c:pt idx="8">
                  <c:v>-0.48585069546880905</c:v>
                </c:pt>
                <c:pt idx="9">
                  <c:v>1.9340838763526401E-2</c:v>
                </c:pt>
                <c:pt idx="10">
                  <c:v>5.5610220907159058E-3</c:v>
                </c:pt>
                <c:pt idx="11">
                  <c:v>-1.2733883449355901E-2</c:v>
                </c:pt>
                <c:pt idx="12">
                  <c:v>-0.40009332574972245</c:v>
                </c:pt>
                <c:pt idx="13">
                  <c:v>-0.43117121016074189</c:v>
                </c:pt>
                <c:pt idx="14">
                  <c:v>-0.46201454450073476</c:v>
                </c:pt>
                <c:pt idx="15">
                  <c:v>-0.49262332876970105</c:v>
                </c:pt>
                <c:pt idx="16">
                  <c:v>-0.50165350650422358</c:v>
                </c:pt>
                <c:pt idx="17">
                  <c:v>-0.50851409608175069</c:v>
                </c:pt>
                <c:pt idx="18">
                  <c:v>-0.53196910318440671</c:v>
                </c:pt>
                <c:pt idx="19">
                  <c:v>-0.54006108063482317</c:v>
                </c:pt>
                <c:pt idx="20">
                  <c:v>-0.54838760815626597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E2-40D8-B379-022B28AF4A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  <c:pt idx="20">
                  <c:v>9447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">
                  <c:v>1.7180800001369789E-2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E2-40D8-B379-022B28AF4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330600"/>
        <c:axId val="1"/>
      </c:scatterChart>
      <c:valAx>
        <c:axId val="49833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33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194F38B-3C4B-8018-B956-BC561841D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konkoly.hu/cgi-bin/IBVS?5820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1"/>
  <sheetViews>
    <sheetView tabSelected="1" workbookViewId="0">
      <pane xSplit="13" ySplit="22" topLeftCell="N28" activePane="bottomRight" state="frozen"/>
      <selection pane="topRight" activeCell="N1" sqref="N1"/>
      <selection pane="bottomLeft" activeCell="A23" sqref="A23"/>
      <selection pane="bottomRight" activeCell="A28" sqref="A28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2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33</v>
      </c>
    </row>
    <row r="2" spans="1:6" x14ac:dyDescent="0.2">
      <c r="A2" t="s">
        <v>26</v>
      </c>
      <c r="B2" s="9" t="s">
        <v>30</v>
      </c>
    </row>
    <row r="4" spans="1:6" ht="14.25" thickTop="1" thickBot="1" x14ac:dyDescent="0.25">
      <c r="A4" s="6" t="s">
        <v>2</v>
      </c>
      <c r="C4" s="3">
        <v>33853.383999999998</v>
      </c>
      <c r="D4" s="4">
        <v>2.7530063999999999</v>
      </c>
    </row>
    <row r="5" spans="1:6" ht="13.5" thickTop="1" x14ac:dyDescent="0.2">
      <c r="A5" s="13" t="s">
        <v>34</v>
      </c>
      <c r="B5" s="9"/>
      <c r="C5" s="14">
        <v>-9.5</v>
      </c>
      <c r="D5" s="9" t="s">
        <v>35</v>
      </c>
    </row>
    <row r="6" spans="1:6" x14ac:dyDescent="0.2">
      <c r="A6" s="6" t="s">
        <v>3</v>
      </c>
    </row>
    <row r="7" spans="1:6" x14ac:dyDescent="0.2">
      <c r="A7" t="s">
        <v>4</v>
      </c>
      <c r="C7">
        <v>33853.383999999998</v>
      </c>
    </row>
    <row r="8" spans="1:6" x14ac:dyDescent="0.2">
      <c r="A8" t="s">
        <v>5</v>
      </c>
      <c r="C8">
        <v>2.7530063999999999</v>
      </c>
    </row>
    <row r="9" spans="1:6" x14ac:dyDescent="0.2">
      <c r="A9" s="29" t="s">
        <v>40</v>
      </c>
      <c r="B9" s="30">
        <v>21</v>
      </c>
      <c r="C9" s="27" t="str">
        <f>"F"&amp;B9</f>
        <v>F21</v>
      </c>
      <c r="D9" s="28" t="str">
        <f>"G"&amp;B9</f>
        <v>G21</v>
      </c>
    </row>
    <row r="10" spans="1:6" ht="13.5" thickBot="1" x14ac:dyDescent="0.25">
      <c r="A10" s="9"/>
      <c r="B10" s="9"/>
      <c r="C10" s="5" t="s">
        <v>22</v>
      </c>
      <c r="D10" s="5" t="s">
        <v>23</v>
      </c>
      <c r="E10" s="9"/>
    </row>
    <row r="11" spans="1:6" x14ac:dyDescent="0.2">
      <c r="A11" s="9" t="s">
        <v>18</v>
      </c>
      <c r="B11" s="9"/>
      <c r="C11" s="26">
        <f ca="1">INTERCEPT(INDIRECT($D$9):G989,INDIRECT($C$9):F989)</f>
        <v>5.5610220907159058E-3</v>
      </c>
      <c r="D11" s="15"/>
      <c r="E11" s="9"/>
    </row>
    <row r="12" spans="1:6" x14ac:dyDescent="0.2">
      <c r="A12" s="9" t="s">
        <v>19</v>
      </c>
      <c r="B12" s="9"/>
      <c r="C12" s="26">
        <f ca="1">SLOPE(INDIRECT($D$9):G989,INDIRECT($C$9):F989)</f>
        <v>-5.8637517756640412E-5</v>
      </c>
      <c r="D12" s="15"/>
      <c r="E12" s="9"/>
    </row>
    <row r="13" spans="1:6" x14ac:dyDescent="0.2">
      <c r="A13" s="9" t="s">
        <v>21</v>
      </c>
      <c r="B13" s="9"/>
      <c r="C13" s="15" t="s">
        <v>16</v>
      </c>
    </row>
    <row r="14" spans="1:6" x14ac:dyDescent="0.2">
      <c r="A14" s="9"/>
      <c r="B14" s="9"/>
      <c r="C14" s="9"/>
    </row>
    <row r="15" spans="1:6" x14ac:dyDescent="0.2">
      <c r="A15" s="16" t="s">
        <v>20</v>
      </c>
      <c r="B15" s="9"/>
      <c r="C15" s="17">
        <f ca="1">(C7+C11)+(C8+C12)*INT(MAX(F21:F3530))</f>
        <v>59860.487073191834</v>
      </c>
      <c r="E15" s="18" t="s">
        <v>43</v>
      </c>
      <c r="F15" s="14">
        <v>1</v>
      </c>
    </row>
    <row r="16" spans="1:6" x14ac:dyDescent="0.2">
      <c r="A16" s="20" t="s">
        <v>6</v>
      </c>
      <c r="B16" s="9"/>
      <c r="C16" s="21">
        <f ca="1">+C8+C12</f>
        <v>2.7529477624822434</v>
      </c>
      <c r="E16" s="18" t="s">
        <v>36</v>
      </c>
      <c r="F16" s="19">
        <f ca="1">NOW()+15018.5+$C$5/24</f>
        <v>60332.697769791666</v>
      </c>
    </row>
    <row r="17" spans="1:21" ht="13.5" thickBot="1" x14ac:dyDescent="0.25">
      <c r="A17" s="18" t="s">
        <v>32</v>
      </c>
      <c r="B17" s="9"/>
      <c r="C17" s="9">
        <f>COUNT(C21:C2188)</f>
        <v>21</v>
      </c>
      <c r="E17" s="18" t="s">
        <v>44</v>
      </c>
      <c r="F17" s="19">
        <f ca="1">ROUND(2*(F16-$C$7)/$C$8,0)/2+F15</f>
        <v>9619.5</v>
      </c>
    </row>
    <row r="18" spans="1:21" ht="14.25" thickTop="1" thickBot="1" x14ac:dyDescent="0.25">
      <c r="A18" s="20" t="s">
        <v>7</v>
      </c>
      <c r="B18" s="9"/>
      <c r="C18" s="23">
        <f ca="1">+C15</f>
        <v>59860.487073191834</v>
      </c>
      <c r="D18" s="24">
        <f ca="1">+C16</f>
        <v>2.7529477624822434</v>
      </c>
      <c r="E18" s="18" t="s">
        <v>37</v>
      </c>
      <c r="F18" s="28">
        <f ca="1">ROUND(2*(F16-$C$15)/$C$16,0)/2+F15</f>
        <v>172.5</v>
      </c>
    </row>
    <row r="19" spans="1:21" ht="13.5" thickTop="1" x14ac:dyDescent="0.2">
      <c r="E19" s="18" t="s">
        <v>38</v>
      </c>
      <c r="F19" s="22">
        <f ca="1">+$C$15+$C$16*F18-15018.5-$C$5/24</f>
        <v>45317.266395553357</v>
      </c>
    </row>
    <row r="20" spans="1:2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59</v>
      </c>
      <c r="I20" s="8" t="s">
        <v>46</v>
      </c>
      <c r="J20" s="8" t="s">
        <v>56</v>
      </c>
      <c r="K20" s="8" t="s">
        <v>54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R20" s="5"/>
      <c r="S20" s="5"/>
      <c r="T20" s="5"/>
      <c r="U20" s="39" t="s">
        <v>49</v>
      </c>
    </row>
    <row r="21" spans="1:21" x14ac:dyDescent="0.2">
      <c r="A21" t="s">
        <v>14</v>
      </c>
      <c r="C21" s="12">
        <f>+C4</f>
        <v>33853.383999999998</v>
      </c>
      <c r="D21" s="12" t="s">
        <v>16</v>
      </c>
      <c r="E21">
        <f t="shared" ref="E21:E35" si="0">+(C21-C$7)/C$8</f>
        <v>0</v>
      </c>
      <c r="F21">
        <f t="shared" ref="F21:F38" si="1">ROUND(2*E21,0)/2</f>
        <v>0</v>
      </c>
      <c r="G21">
        <f>+C21-(C$7+F21*C$8)</f>
        <v>0</v>
      </c>
      <c r="H21">
        <v>0</v>
      </c>
      <c r="O21">
        <f t="shared" ref="O21:O35" ca="1" si="2">+C$11+C$12*$F21</f>
        <v>5.5610220907159058E-3</v>
      </c>
      <c r="Q21" s="2">
        <f t="shared" ref="Q21:Q35" si="3">+C21-15018.5</f>
        <v>18834.883999999998</v>
      </c>
      <c r="R21" s="2"/>
      <c r="S21" s="2"/>
      <c r="T21" s="2"/>
    </row>
    <row r="22" spans="1:21" x14ac:dyDescent="0.2">
      <c r="A22" s="31" t="s">
        <v>41</v>
      </c>
      <c r="B22" s="32" t="s">
        <v>42</v>
      </c>
      <c r="C22" s="25">
        <v>52444.453399999999</v>
      </c>
      <c r="D22" s="25">
        <v>2.7000000000000001E-3</v>
      </c>
      <c r="E22">
        <f t="shared" si="0"/>
        <v>6753.0062407410314</v>
      </c>
      <c r="F22">
        <f t="shared" si="1"/>
        <v>6753</v>
      </c>
      <c r="O22">
        <f t="shared" ca="1" si="2"/>
        <v>-0.39041813531987679</v>
      </c>
      <c r="Q22" s="2">
        <f t="shared" si="3"/>
        <v>37425.953399999999</v>
      </c>
      <c r="R22" s="2"/>
      <c r="S22" s="2"/>
      <c r="T22" s="2"/>
      <c r="U22">
        <f>+C22-(C$7+F22*C$8)</f>
        <v>1.7180800001369789E-2</v>
      </c>
    </row>
    <row r="23" spans="1:21" x14ac:dyDescent="0.2">
      <c r="A23" s="10" t="s">
        <v>31</v>
      </c>
      <c r="B23" s="11"/>
      <c r="C23" s="12">
        <v>52928.565399999999</v>
      </c>
      <c r="D23" s="12">
        <v>1.1999999999999999E-3</v>
      </c>
      <c r="E23">
        <f t="shared" si="0"/>
        <v>6928.854724057308</v>
      </c>
      <c r="F23">
        <f t="shared" si="1"/>
        <v>6929</v>
      </c>
      <c r="G23">
        <f t="shared" ref="G23:G35" si="4">+C23-(C$7+F23*C$8)</f>
        <v>-0.39994559999468038</v>
      </c>
      <c r="J23">
        <f>+G23</f>
        <v>-0.39994559999468038</v>
      </c>
      <c r="O23">
        <f t="shared" ca="1" si="2"/>
        <v>-0.40073833844504553</v>
      </c>
      <c r="Q23" s="2">
        <f t="shared" si="3"/>
        <v>37910.065399999999</v>
      </c>
      <c r="R23" s="2"/>
      <c r="S23" s="2"/>
      <c r="T23" s="2"/>
    </row>
    <row r="24" spans="1:21" x14ac:dyDescent="0.2">
      <c r="A24" s="34" t="s">
        <v>45</v>
      </c>
      <c r="B24" s="35" t="s">
        <v>42</v>
      </c>
      <c r="C24" s="34">
        <v>53151.582999999999</v>
      </c>
      <c r="D24" s="34" t="s">
        <v>46</v>
      </c>
      <c r="E24">
        <f t="shared" si="0"/>
        <v>7009.8634714398058</v>
      </c>
      <c r="F24">
        <f t="shared" si="1"/>
        <v>7010</v>
      </c>
      <c r="G24">
        <f t="shared" si="4"/>
        <v>-0.37586400000145659</v>
      </c>
      <c r="I24">
        <f>+G24</f>
        <v>-0.37586400000145659</v>
      </c>
      <c r="O24">
        <f t="shared" ca="1" si="2"/>
        <v>-0.40548797738333336</v>
      </c>
      <c r="Q24" s="2">
        <f t="shared" si="3"/>
        <v>38133.082999999999</v>
      </c>
      <c r="R24" s="2"/>
      <c r="S24" s="2"/>
      <c r="T24" s="2"/>
    </row>
    <row r="25" spans="1:21" x14ac:dyDescent="0.2">
      <c r="A25" s="25" t="s">
        <v>39</v>
      </c>
      <c r="B25" s="33"/>
      <c r="C25" s="25">
        <v>54244.467400000001</v>
      </c>
      <c r="D25" s="25">
        <v>1.4E-3</v>
      </c>
      <c r="E25">
        <f t="shared" si="0"/>
        <v>7406.8419891795402</v>
      </c>
      <c r="F25">
        <f t="shared" si="1"/>
        <v>7407</v>
      </c>
      <c r="G25">
        <f t="shared" si="4"/>
        <v>-0.43500479999784147</v>
      </c>
      <c r="J25">
        <f>+G25</f>
        <v>-0.43500479999784147</v>
      </c>
      <c r="O25">
        <f t="shared" ca="1" si="2"/>
        <v>-0.42876707193271962</v>
      </c>
      <c r="Q25" s="2">
        <f t="shared" si="3"/>
        <v>39225.967400000001</v>
      </c>
      <c r="R25" s="2"/>
      <c r="S25" s="2"/>
      <c r="T25" s="2"/>
    </row>
    <row r="26" spans="1:21" s="70" customFormat="1" ht="12" customHeight="1" x14ac:dyDescent="0.2">
      <c r="A26" s="34" t="s">
        <v>47</v>
      </c>
      <c r="B26" s="35" t="s">
        <v>42</v>
      </c>
      <c r="C26" s="34">
        <v>54398.634299999998</v>
      </c>
      <c r="D26" s="34">
        <v>4.0000000000000002E-4</v>
      </c>
      <c r="E26" s="70">
        <f t="shared" si="0"/>
        <v>7462.8414594314063</v>
      </c>
      <c r="F26" s="70">
        <f t="shared" si="1"/>
        <v>7463</v>
      </c>
      <c r="G26" s="70">
        <f t="shared" si="4"/>
        <v>-0.43646319999970729</v>
      </c>
      <c r="K26" s="70">
        <f>+G26</f>
        <v>-0.43646319999970729</v>
      </c>
      <c r="O26" s="70">
        <f t="shared" ca="1" si="2"/>
        <v>-0.43205077292709149</v>
      </c>
      <c r="Q26" s="71">
        <f t="shared" si="3"/>
        <v>39380.134299999998</v>
      </c>
      <c r="R26" s="71"/>
      <c r="S26" s="71"/>
      <c r="T26" s="71"/>
    </row>
    <row r="27" spans="1:21" s="70" customFormat="1" ht="12" customHeight="1" x14ac:dyDescent="0.2">
      <c r="A27" s="36" t="s">
        <v>48</v>
      </c>
      <c r="B27" s="37" t="s">
        <v>42</v>
      </c>
      <c r="C27" s="38">
        <v>56167.405700000003</v>
      </c>
      <c r="D27" s="38">
        <v>8.8000000000000005E-3</v>
      </c>
      <c r="E27" s="70">
        <f t="shared" si="0"/>
        <v>8105.3286690506811</v>
      </c>
      <c r="F27" s="70">
        <f t="shared" si="1"/>
        <v>8105.5</v>
      </c>
      <c r="G27" s="70">
        <f t="shared" si="4"/>
        <v>-0.47167519999493379</v>
      </c>
      <c r="J27" s="70">
        <f>+G27</f>
        <v>-0.47167519999493379</v>
      </c>
      <c r="O27" s="70">
        <f t="shared" ca="1" si="2"/>
        <v>-0.46972537808573295</v>
      </c>
      <c r="Q27" s="71">
        <f t="shared" si="3"/>
        <v>41148.905700000003</v>
      </c>
      <c r="R27" s="71"/>
      <c r="S27" s="71"/>
      <c r="T27" s="71"/>
    </row>
    <row r="28" spans="1:21" s="70" customFormat="1" ht="12" customHeight="1" x14ac:dyDescent="0.2">
      <c r="A28" s="42" t="s">
        <v>51</v>
      </c>
      <c r="B28" s="41"/>
      <c r="C28" s="42">
        <v>56496.392019999999</v>
      </c>
      <c r="D28" s="42">
        <v>7.5000000000000002E-4</v>
      </c>
      <c r="E28" s="70">
        <f t="shared" si="0"/>
        <v>8224.8294155800013</v>
      </c>
      <c r="F28" s="70">
        <f t="shared" si="1"/>
        <v>8225</v>
      </c>
      <c r="G28" s="70">
        <f t="shared" si="4"/>
        <v>-0.46961999999621185</v>
      </c>
      <c r="K28" s="70">
        <f>+G28</f>
        <v>-0.46961999999621185</v>
      </c>
      <c r="O28" s="70">
        <f t="shared" ca="1" si="2"/>
        <v>-0.47673256145765147</v>
      </c>
      <c r="Q28" s="71">
        <f t="shared" si="3"/>
        <v>41477.892019999999</v>
      </c>
      <c r="R28" s="71"/>
      <c r="S28" s="71"/>
      <c r="T28" s="71"/>
    </row>
    <row r="29" spans="1:21" s="70" customFormat="1" ht="12" customHeight="1" x14ac:dyDescent="0.2">
      <c r="A29" s="40" t="s">
        <v>50</v>
      </c>
      <c r="B29" s="41"/>
      <c r="C29" s="40">
        <v>56924.463900000002</v>
      </c>
      <c r="D29" s="40">
        <v>1.29E-2</v>
      </c>
      <c r="E29" s="70">
        <f t="shared" si="0"/>
        <v>8380.3219273300656</v>
      </c>
      <c r="F29" s="70">
        <f t="shared" si="1"/>
        <v>8380.5</v>
      </c>
      <c r="G29" s="70">
        <f t="shared" si="4"/>
        <v>-0.49023519999173004</v>
      </c>
      <c r="J29" s="70">
        <f>+G29</f>
        <v>-0.49023519999173004</v>
      </c>
      <c r="O29" s="70">
        <f t="shared" ca="1" si="2"/>
        <v>-0.48585069546880905</v>
      </c>
      <c r="Q29" s="71">
        <f t="shared" si="3"/>
        <v>41905.963900000002</v>
      </c>
      <c r="R29" s="71"/>
      <c r="S29" s="71"/>
      <c r="T29" s="71"/>
    </row>
    <row r="30" spans="1:21" s="70" customFormat="1" ht="12" customHeight="1" x14ac:dyDescent="0.2">
      <c r="A30" s="56" t="s">
        <v>67</v>
      </c>
      <c r="B30" s="58" t="s">
        <v>42</v>
      </c>
      <c r="C30" s="57">
        <v>33206.425999999999</v>
      </c>
      <c r="D30" s="57" t="s">
        <v>46</v>
      </c>
      <c r="E30" s="70">
        <f t="shared" si="0"/>
        <v>-235.00054340592843</v>
      </c>
      <c r="F30" s="70">
        <f t="shared" si="1"/>
        <v>-235</v>
      </c>
      <c r="G30" s="70">
        <f t="shared" si="4"/>
        <v>-1.4959999971324578E-3</v>
      </c>
      <c r="I30" s="70">
        <f>+G30</f>
        <v>-1.4959999971324578E-3</v>
      </c>
      <c r="O30" s="70">
        <f t="shared" ca="1" si="2"/>
        <v>1.9340838763526401E-2</v>
      </c>
      <c r="Q30" s="71">
        <f t="shared" si="3"/>
        <v>18187.925999999999</v>
      </c>
      <c r="R30" s="71"/>
      <c r="S30" s="71"/>
      <c r="T30" s="71"/>
    </row>
    <row r="31" spans="1:21" s="70" customFormat="1" ht="12" customHeight="1" x14ac:dyDescent="0.2">
      <c r="A31" s="56" t="s">
        <v>67</v>
      </c>
      <c r="B31" s="58" t="s">
        <v>42</v>
      </c>
      <c r="C31" s="57">
        <v>33853.387999999999</v>
      </c>
      <c r="D31" s="57" t="s">
        <v>46</v>
      </c>
      <c r="E31" s="70">
        <f t="shared" si="0"/>
        <v>1.4529570293824626E-3</v>
      </c>
      <c r="F31" s="70">
        <f t="shared" si="1"/>
        <v>0</v>
      </c>
      <c r="G31" s="70">
        <f t="shared" si="4"/>
        <v>4.0000000008149073E-3</v>
      </c>
      <c r="I31" s="70">
        <f>+G31</f>
        <v>4.0000000008149073E-3</v>
      </c>
      <c r="O31" s="70">
        <f t="shared" ca="1" si="2"/>
        <v>5.5610220907159058E-3</v>
      </c>
      <c r="Q31" s="71">
        <f t="shared" si="3"/>
        <v>18834.887999999999</v>
      </c>
      <c r="R31" s="71"/>
      <c r="S31" s="71"/>
      <c r="T31" s="71"/>
    </row>
    <row r="32" spans="1:21" s="70" customFormat="1" ht="12" customHeight="1" x14ac:dyDescent="0.2">
      <c r="A32" s="56" t="s">
        <v>67</v>
      </c>
      <c r="B32" s="58" t="s">
        <v>42</v>
      </c>
      <c r="C32" s="57">
        <v>34712.321000000004</v>
      </c>
      <c r="D32" s="57" t="s">
        <v>46</v>
      </c>
      <c r="E32" s="70">
        <f t="shared" si="0"/>
        <v>311.9996379231103</v>
      </c>
      <c r="F32" s="70">
        <f t="shared" si="1"/>
        <v>312</v>
      </c>
      <c r="G32" s="70">
        <f t="shared" si="4"/>
        <v>-9.9679999402724206E-4</v>
      </c>
      <c r="I32" s="70">
        <f>+G32</f>
        <v>-9.9679999402724206E-4</v>
      </c>
      <c r="O32" s="70">
        <f t="shared" ca="1" si="2"/>
        <v>-1.2733883449355901E-2</v>
      </c>
      <c r="Q32" s="71">
        <f t="shared" si="3"/>
        <v>19693.821000000004</v>
      </c>
      <c r="R32" s="71"/>
      <c r="S32" s="71"/>
      <c r="T32" s="71"/>
    </row>
    <row r="33" spans="1:20" s="70" customFormat="1" ht="12" customHeight="1" x14ac:dyDescent="0.2">
      <c r="A33" s="56" t="s">
        <v>85</v>
      </c>
      <c r="B33" s="58" t="s">
        <v>42</v>
      </c>
      <c r="C33" s="57">
        <v>52898.33</v>
      </c>
      <c r="D33" s="57" t="s">
        <v>46</v>
      </c>
      <c r="E33" s="70">
        <f t="shared" si="0"/>
        <v>6917.8720398179985</v>
      </c>
      <c r="F33" s="70">
        <f t="shared" si="1"/>
        <v>6918</v>
      </c>
      <c r="G33" s="70">
        <f t="shared" si="4"/>
        <v>-0.35227519999898504</v>
      </c>
      <c r="I33" s="70">
        <f>+G33</f>
        <v>-0.35227519999898504</v>
      </c>
      <c r="O33" s="70">
        <f t="shared" ca="1" si="2"/>
        <v>-0.40009332574972245</v>
      </c>
      <c r="Q33" s="71">
        <f t="shared" si="3"/>
        <v>37879.83</v>
      </c>
      <c r="R33" s="71"/>
      <c r="S33" s="71"/>
      <c r="T33" s="71"/>
    </row>
    <row r="34" spans="1:20" s="70" customFormat="1" ht="12" customHeight="1" x14ac:dyDescent="0.2">
      <c r="A34" s="56" t="s">
        <v>105</v>
      </c>
      <c r="B34" s="58" t="s">
        <v>42</v>
      </c>
      <c r="C34" s="57">
        <v>54357.352599999998</v>
      </c>
      <c r="D34" s="57" t="s">
        <v>46</v>
      </c>
      <c r="E34" s="70">
        <f t="shared" si="0"/>
        <v>7447.8463253844966</v>
      </c>
      <c r="F34" s="70">
        <f t="shared" si="1"/>
        <v>7448</v>
      </c>
      <c r="G34" s="70">
        <f t="shared" si="4"/>
        <v>-0.42306719999760389</v>
      </c>
      <c r="K34" s="70">
        <f t="shared" ref="K34:K39" si="5">+G34</f>
        <v>-0.42306719999760389</v>
      </c>
      <c r="O34" s="70">
        <f t="shared" ca="1" si="2"/>
        <v>-0.43117121016074189</v>
      </c>
      <c r="Q34" s="71">
        <f t="shared" si="3"/>
        <v>39338.852599999998</v>
      </c>
      <c r="R34" s="71"/>
      <c r="S34" s="71"/>
      <c r="T34" s="71"/>
    </row>
    <row r="35" spans="1:20" s="70" customFormat="1" ht="12" customHeight="1" x14ac:dyDescent="0.2">
      <c r="A35" s="56" t="s">
        <v>117</v>
      </c>
      <c r="B35" s="58" t="s">
        <v>42</v>
      </c>
      <c r="C35" s="57">
        <v>55805.384599999998</v>
      </c>
      <c r="D35" s="57" t="s">
        <v>46</v>
      </c>
      <c r="E35" s="70">
        <f t="shared" si="0"/>
        <v>7973.8283935700265</v>
      </c>
      <c r="F35" s="70">
        <f t="shared" si="1"/>
        <v>7974</v>
      </c>
      <c r="G35" s="70">
        <f t="shared" si="4"/>
        <v>-0.47243359999993118</v>
      </c>
      <c r="K35" s="70">
        <f t="shared" si="5"/>
        <v>-0.47243359999993118</v>
      </c>
      <c r="O35" s="70">
        <f t="shared" ca="1" si="2"/>
        <v>-0.46201454450073476</v>
      </c>
      <c r="Q35" s="71">
        <f t="shared" si="3"/>
        <v>40786.884599999998</v>
      </c>
      <c r="R35" s="71"/>
      <c r="S35" s="71"/>
      <c r="T35" s="71"/>
    </row>
    <row r="36" spans="1:20" s="70" customFormat="1" ht="12" customHeight="1" x14ac:dyDescent="0.2">
      <c r="A36" s="59" t="s">
        <v>1</v>
      </c>
      <c r="B36" s="60" t="s">
        <v>42</v>
      </c>
      <c r="C36" s="61">
        <v>57242.429900000003</v>
      </c>
      <c r="D36" s="61">
        <v>1.4200000000000001E-2</v>
      </c>
      <c r="E36" s="70">
        <f t="shared" ref="E36:E41" si="6">+(C36-C$7)/C$8</f>
        <v>8495.819661007692</v>
      </c>
      <c r="F36" s="70">
        <f t="shared" si="1"/>
        <v>8496</v>
      </c>
      <c r="G36" s="70">
        <f t="shared" ref="G36:G41" si="7">+C36-(C$7+F36*C$8)</f>
        <v>-0.49647439999534981</v>
      </c>
      <c r="K36" s="70">
        <f t="shared" si="5"/>
        <v>-0.49647439999534981</v>
      </c>
      <c r="O36" s="70">
        <f t="shared" ref="O36:O41" ca="1" si="8">+C$11+C$12*$F36</f>
        <v>-0.49262332876970105</v>
      </c>
      <c r="Q36" s="71">
        <f t="shared" ref="Q36:Q41" si="9">+C36-15018.5</f>
        <v>42223.929900000003</v>
      </c>
    </row>
    <row r="37" spans="1:20" s="70" customFormat="1" ht="12" customHeight="1" x14ac:dyDescent="0.2">
      <c r="A37" s="62" t="s">
        <v>134</v>
      </c>
      <c r="B37" s="63" t="s">
        <v>42</v>
      </c>
      <c r="C37" s="64">
        <v>57666.386989999999</v>
      </c>
      <c r="D37" s="64">
        <v>1.4E-3</v>
      </c>
      <c r="E37" s="70">
        <f t="shared" si="6"/>
        <v>8649.8175194943251</v>
      </c>
      <c r="F37" s="70">
        <f t="shared" si="1"/>
        <v>8650</v>
      </c>
      <c r="G37" s="70">
        <f t="shared" si="7"/>
        <v>-0.5023700000019744</v>
      </c>
      <c r="K37" s="70">
        <f t="shared" si="5"/>
        <v>-0.5023700000019744</v>
      </c>
      <c r="O37" s="70">
        <f t="shared" ca="1" si="8"/>
        <v>-0.50165350650422358</v>
      </c>
      <c r="Q37" s="71">
        <f t="shared" si="9"/>
        <v>42647.886989999999</v>
      </c>
    </row>
    <row r="38" spans="1:20" s="70" customFormat="1" ht="12" customHeight="1" x14ac:dyDescent="0.2">
      <c r="A38" s="72" t="s">
        <v>0</v>
      </c>
      <c r="B38" s="73" t="s">
        <v>42</v>
      </c>
      <c r="C38" s="73">
        <v>57988.476799999997</v>
      </c>
      <c r="D38" s="73">
        <v>8.9999999999999998E-4</v>
      </c>
      <c r="E38" s="70">
        <f t="shared" si="6"/>
        <v>8766.8131828534788</v>
      </c>
      <c r="F38" s="70">
        <f t="shared" si="1"/>
        <v>8767</v>
      </c>
      <c r="G38" s="70">
        <f t="shared" si="7"/>
        <v>-0.51430879999679746</v>
      </c>
      <c r="K38" s="70">
        <f t="shared" si="5"/>
        <v>-0.51430879999679746</v>
      </c>
      <c r="O38" s="70">
        <f t="shared" ca="1" si="8"/>
        <v>-0.50851409608175069</v>
      </c>
      <c r="Q38" s="71">
        <f t="shared" si="9"/>
        <v>42969.976799999997</v>
      </c>
    </row>
    <row r="39" spans="1:20" s="70" customFormat="1" ht="12" customHeight="1" x14ac:dyDescent="0.2">
      <c r="A39" s="65" t="s">
        <v>135</v>
      </c>
      <c r="B39" s="37" t="s">
        <v>42</v>
      </c>
      <c r="C39" s="38">
        <v>59089.6463</v>
      </c>
      <c r="D39" s="38">
        <v>1.1999999999999999E-3</v>
      </c>
      <c r="E39" s="70">
        <f t="shared" si="6"/>
        <v>9166.8011741636365</v>
      </c>
      <c r="F39" s="70">
        <f>ROUND(2*E39,0)/2</f>
        <v>9167</v>
      </c>
      <c r="G39" s="70">
        <f t="shared" si="7"/>
        <v>-0.54736879999836674</v>
      </c>
      <c r="K39" s="70">
        <f t="shared" si="5"/>
        <v>-0.54736879999836674</v>
      </c>
      <c r="O39" s="70">
        <f t="shared" ca="1" si="8"/>
        <v>-0.53196910318440671</v>
      </c>
      <c r="Q39" s="71">
        <f t="shared" si="9"/>
        <v>44071.1463</v>
      </c>
    </row>
    <row r="40" spans="1:20" s="70" customFormat="1" ht="12" customHeight="1" x14ac:dyDescent="0.2">
      <c r="A40" s="66" t="s">
        <v>136</v>
      </c>
      <c r="B40" s="67" t="s">
        <v>42</v>
      </c>
      <c r="C40" s="75">
        <v>59469.557200000003</v>
      </c>
      <c r="D40" s="66">
        <v>1E-4</v>
      </c>
      <c r="E40" s="70">
        <f t="shared" si="6"/>
        <v>9304.7997273090277</v>
      </c>
      <c r="F40" s="70">
        <f>ROUND(2*E40,0)/2</f>
        <v>9305</v>
      </c>
      <c r="G40" s="70">
        <f t="shared" si="7"/>
        <v>-0.55135199999494944</v>
      </c>
      <c r="K40" s="70">
        <f t="shared" ref="K40" si="10">+G40</f>
        <v>-0.55135199999494944</v>
      </c>
      <c r="O40" s="70">
        <f t="shared" ca="1" si="8"/>
        <v>-0.54006108063482317</v>
      </c>
      <c r="Q40" s="71">
        <f t="shared" si="9"/>
        <v>44451.057200000003</v>
      </c>
    </row>
    <row r="41" spans="1:20" s="70" customFormat="1" ht="12" customHeight="1" x14ac:dyDescent="0.2">
      <c r="A41" s="68" t="s">
        <v>137</v>
      </c>
      <c r="B41" s="69" t="s">
        <v>42</v>
      </c>
      <c r="C41" s="76">
        <v>59860.474300000002</v>
      </c>
      <c r="D41" s="77">
        <v>2.0000000000000001E-4</v>
      </c>
      <c r="E41" s="70">
        <f t="shared" si="6"/>
        <v>9446.7961643677991</v>
      </c>
      <c r="F41" s="70">
        <f>ROUND(2*E41,0)/2</f>
        <v>9447</v>
      </c>
      <c r="G41" s="70">
        <f t="shared" si="7"/>
        <v>-0.5611607999962871</v>
      </c>
      <c r="K41" s="70">
        <f t="shared" ref="K41" si="11">+G41</f>
        <v>-0.5611607999962871</v>
      </c>
      <c r="O41" s="70">
        <f t="shared" ca="1" si="8"/>
        <v>-0.54838760815626597</v>
      </c>
      <c r="Q41" s="71">
        <f t="shared" si="9"/>
        <v>44841.974300000002</v>
      </c>
    </row>
    <row r="42" spans="1:20" s="70" customFormat="1" ht="12" customHeight="1" x14ac:dyDescent="0.2">
      <c r="C42" s="74"/>
      <c r="D42" s="74"/>
    </row>
    <row r="43" spans="1:20" s="70" customFormat="1" ht="12" customHeight="1" x14ac:dyDescent="0.2">
      <c r="C43" s="74"/>
      <c r="D43" s="74"/>
    </row>
    <row r="44" spans="1:20" s="70" customFormat="1" ht="12" customHeight="1" x14ac:dyDescent="0.2">
      <c r="C44" s="74"/>
      <c r="D44" s="74"/>
    </row>
    <row r="45" spans="1:20" s="70" customFormat="1" ht="12" customHeight="1" x14ac:dyDescent="0.2">
      <c r="C45" s="74"/>
      <c r="D45" s="74"/>
    </row>
    <row r="46" spans="1:20" s="70" customFormat="1" ht="12" customHeight="1" x14ac:dyDescent="0.2">
      <c r="C46" s="74"/>
      <c r="D46" s="74"/>
    </row>
    <row r="47" spans="1:20" s="70" customFormat="1" ht="12" customHeight="1" x14ac:dyDescent="0.2">
      <c r="C47" s="74"/>
      <c r="D47" s="74"/>
    </row>
    <row r="48" spans="1:20" s="70" customFormat="1" ht="12" customHeight="1" x14ac:dyDescent="0.2">
      <c r="C48" s="74"/>
      <c r="D48" s="74"/>
    </row>
    <row r="49" spans="3:4" s="70" customFormat="1" ht="12" customHeight="1" x14ac:dyDescent="0.2">
      <c r="C49" s="74"/>
      <c r="D49" s="74"/>
    </row>
    <row r="50" spans="3:4" s="70" customFormat="1" ht="12" customHeight="1" x14ac:dyDescent="0.2">
      <c r="C50" s="74"/>
      <c r="D50" s="74"/>
    </row>
    <row r="51" spans="3:4" s="70" customFormat="1" ht="12" customHeight="1" x14ac:dyDescent="0.2">
      <c r="C51" s="74"/>
      <c r="D51" s="74"/>
    </row>
    <row r="52" spans="3:4" s="70" customFormat="1" ht="12" customHeight="1" x14ac:dyDescent="0.2">
      <c r="C52" s="74"/>
      <c r="D52" s="74"/>
    </row>
    <row r="53" spans="3:4" s="70" customFormat="1" ht="12" customHeight="1" x14ac:dyDescent="0.2">
      <c r="C53" s="74"/>
      <c r="D53" s="74"/>
    </row>
    <row r="54" spans="3:4" s="70" customFormat="1" ht="12" customHeight="1" x14ac:dyDescent="0.2">
      <c r="C54" s="74"/>
      <c r="D54" s="74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</sheetData>
  <phoneticPr fontId="8" type="noConversion"/>
  <hyperlinks>
    <hyperlink ref="H1954" r:id="rId1" display="http://vsolj.cetus-net.org/bulletin.html" xr:uid="{00000000-0004-0000-0000-000000000000}"/>
    <hyperlink ref="H64933" r:id="rId2" display="http://vsolj.cetus-net.org/bulletin.html" xr:uid="{00000000-0004-0000-0000-000001000000}"/>
    <hyperlink ref="H64926" r:id="rId3" display="https://www.aavso.org/ejaavso" xr:uid="{00000000-0004-0000-0000-000002000000}"/>
    <hyperlink ref="AP1077" r:id="rId4" display="http://cdsbib.u-strasbg.fr/cgi-bin/cdsbib?1990RMxAA..21..381G" xr:uid="{00000000-0004-0000-0000-000003000000}"/>
    <hyperlink ref="AP1081" r:id="rId5" display="http://cdsbib.u-strasbg.fr/cgi-bin/cdsbib?1990RMxAA..21..381G" xr:uid="{00000000-0004-0000-0000-000004000000}"/>
    <hyperlink ref="AP1080" r:id="rId6" display="http://cdsbib.u-strasbg.fr/cgi-bin/cdsbib?1990RMxAA..21..381G" xr:uid="{00000000-0004-0000-0000-000005000000}"/>
    <hyperlink ref="AP1061" r:id="rId7" display="http://cdsbib.u-strasbg.fr/cgi-bin/cdsbib?1990RMxAA..21..381G" xr:uid="{00000000-0004-0000-0000-000006000000}"/>
    <hyperlink ref="I64933" r:id="rId8" display="http://vsolj.cetus-net.org/bulletin.html" xr:uid="{00000000-0004-0000-0000-000007000000}"/>
    <hyperlink ref="AQ1217" r:id="rId9" display="http://cdsbib.u-strasbg.fr/cgi-bin/cdsbib?1990RMxAA..21..381G" xr:uid="{00000000-0004-0000-0000-000008000000}"/>
    <hyperlink ref="AQ55983" r:id="rId10" display="http://cdsbib.u-strasbg.fr/cgi-bin/cdsbib?1990RMxAA..21..381G" xr:uid="{00000000-0004-0000-0000-000009000000}"/>
    <hyperlink ref="AQ1218" r:id="rId11" display="http://cdsbib.u-strasbg.fr/cgi-bin/cdsbib?1990RMxAA..21..381G" xr:uid="{00000000-0004-0000-0000-00000A000000}"/>
    <hyperlink ref="H64930" r:id="rId12" display="https://www.aavso.org/ejaavso" xr:uid="{00000000-0004-0000-0000-00000B000000}"/>
    <hyperlink ref="H2103" r:id="rId13" display="http://vsolj.cetus-net.org/bulletin.html" xr:uid="{00000000-0004-0000-0000-00000C000000}"/>
    <hyperlink ref="AP3347" r:id="rId14" display="http://cdsbib.u-strasbg.fr/cgi-bin/cdsbib?1990RMxAA..21..381G" xr:uid="{00000000-0004-0000-0000-00000D000000}"/>
    <hyperlink ref="AP3350" r:id="rId15" display="http://cdsbib.u-strasbg.fr/cgi-bin/cdsbib?1990RMxAA..21..381G" xr:uid="{00000000-0004-0000-0000-00000E000000}"/>
    <hyperlink ref="AP3348" r:id="rId16" display="http://cdsbib.u-strasbg.fr/cgi-bin/cdsbib?1990RMxAA..21..381G" xr:uid="{00000000-0004-0000-0000-00000F000000}"/>
    <hyperlink ref="AP3332" r:id="rId17" display="http://cdsbib.u-strasbg.fr/cgi-bin/cdsbib?1990RMxAA..21..381G" xr:uid="{00000000-0004-0000-0000-000010000000}"/>
    <hyperlink ref="I2103" r:id="rId18" display="http://vsolj.cetus-net.org/bulletin.html" xr:uid="{00000000-0004-0000-0000-000011000000}"/>
    <hyperlink ref="AQ3561" r:id="rId19" display="http://cdsbib.u-strasbg.fr/cgi-bin/cdsbib?1990RMxAA..21..381G" xr:uid="{00000000-0004-0000-0000-000012000000}"/>
    <hyperlink ref="AQ262" r:id="rId20" display="http://cdsbib.u-strasbg.fr/cgi-bin/cdsbib?1990RMxAA..21..381G" xr:uid="{00000000-0004-0000-0000-000013000000}"/>
    <hyperlink ref="AQ356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4"/>
  <sheetViews>
    <sheetView workbookViewId="0">
      <selection activeCell="A19" sqref="A19:D24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3" t="s">
        <v>52</v>
      </c>
      <c r="I1" s="44" t="s">
        <v>53</v>
      </c>
      <c r="J1" s="45" t="s">
        <v>54</v>
      </c>
    </row>
    <row r="2" spans="1:16" x14ac:dyDescent="0.2">
      <c r="I2" s="46" t="s">
        <v>55</v>
      </c>
      <c r="J2" s="47" t="s">
        <v>56</v>
      </c>
    </row>
    <row r="3" spans="1:16" x14ac:dyDescent="0.2">
      <c r="A3" s="48" t="s">
        <v>57</v>
      </c>
      <c r="I3" s="46" t="s">
        <v>58</v>
      </c>
      <c r="J3" s="47" t="s">
        <v>59</v>
      </c>
    </row>
    <row r="4" spans="1:16" x14ac:dyDescent="0.2">
      <c r="I4" s="46" t="s">
        <v>60</v>
      </c>
      <c r="J4" s="47" t="s">
        <v>59</v>
      </c>
    </row>
    <row r="5" spans="1:16" ht="13.5" thickBot="1" x14ac:dyDescent="0.25">
      <c r="I5" s="49" t="s">
        <v>61</v>
      </c>
      <c r="J5" s="50" t="s">
        <v>46</v>
      </c>
    </row>
    <row r="10" spans="1:16" ht="13.5" thickBot="1" x14ac:dyDescent="0.25"/>
    <row r="11" spans="1:16" ht="12.75" customHeight="1" thickBot="1" x14ac:dyDescent="0.25">
      <c r="A11" s="12" t="str">
        <f t="shared" ref="A11:A24" si="0">P11</f>
        <v>OEJV 0074 </v>
      </c>
      <c r="B11" s="15" t="str">
        <f t="shared" ref="B11:B24" si="1">IF(H11=INT(H11),"I","II")</f>
        <v>I</v>
      </c>
      <c r="C11" s="12">
        <f t="shared" ref="C11:C24" si="2">1*G11</f>
        <v>52444.453399999999</v>
      </c>
      <c r="D11" s="9" t="str">
        <f t="shared" ref="D11:D24" si="3">VLOOKUP(F11,I$1:J$5,2,FALSE)</f>
        <v>vis</v>
      </c>
      <c r="E11" s="51">
        <f>VLOOKUP(C11,Active!C$21:E$971,3,FALSE)</f>
        <v>6753.0062407410314</v>
      </c>
      <c r="F11" s="15" t="s">
        <v>61</v>
      </c>
      <c r="G11" s="9" t="str">
        <f t="shared" ref="G11:G24" si="4">MID(I11,3,LEN(I11)-3)</f>
        <v>52444.45340</v>
      </c>
      <c r="H11" s="12">
        <f t="shared" ref="H11:H24" si="5">1*K11</f>
        <v>6753</v>
      </c>
      <c r="I11" s="52" t="s">
        <v>73</v>
      </c>
      <c r="J11" s="53" t="s">
        <v>74</v>
      </c>
      <c r="K11" s="52">
        <v>6753</v>
      </c>
      <c r="L11" s="52" t="s">
        <v>75</v>
      </c>
      <c r="M11" s="53" t="s">
        <v>76</v>
      </c>
      <c r="N11" s="53" t="s">
        <v>77</v>
      </c>
      <c r="O11" s="54" t="s">
        <v>78</v>
      </c>
      <c r="P11" s="55" t="s">
        <v>79</v>
      </c>
    </row>
    <row r="12" spans="1:16" ht="12.75" customHeight="1" thickBot="1" x14ac:dyDescent="0.25">
      <c r="A12" s="12" t="str">
        <f t="shared" si="0"/>
        <v>BAVM 172 </v>
      </c>
      <c r="B12" s="15" t="str">
        <f t="shared" si="1"/>
        <v>I</v>
      </c>
      <c r="C12" s="12">
        <f t="shared" si="2"/>
        <v>52928.565399999999</v>
      </c>
      <c r="D12" s="9" t="str">
        <f t="shared" si="3"/>
        <v>vis</v>
      </c>
      <c r="E12" s="51">
        <f>VLOOKUP(C12,Active!C$21:E$971,3,FALSE)</f>
        <v>6928.854724057308</v>
      </c>
      <c r="F12" s="15" t="s">
        <v>61</v>
      </c>
      <c r="G12" s="9" t="str">
        <f t="shared" si="4"/>
        <v>52928.5654</v>
      </c>
      <c r="H12" s="12">
        <f t="shared" si="5"/>
        <v>6929</v>
      </c>
      <c r="I12" s="52" t="s">
        <v>86</v>
      </c>
      <c r="J12" s="53" t="s">
        <v>87</v>
      </c>
      <c r="K12" s="52">
        <v>6929</v>
      </c>
      <c r="L12" s="52" t="s">
        <v>88</v>
      </c>
      <c r="M12" s="53" t="s">
        <v>89</v>
      </c>
      <c r="N12" s="53" t="s">
        <v>77</v>
      </c>
      <c r="O12" s="54" t="s">
        <v>90</v>
      </c>
      <c r="P12" s="55" t="s">
        <v>91</v>
      </c>
    </row>
    <row r="13" spans="1:16" ht="12.75" customHeight="1" thickBot="1" x14ac:dyDescent="0.25">
      <c r="A13" s="12" t="str">
        <f t="shared" si="0"/>
        <v>BAVM 174 </v>
      </c>
      <c r="B13" s="15" t="str">
        <f t="shared" si="1"/>
        <v>I</v>
      </c>
      <c r="C13" s="12">
        <f t="shared" si="2"/>
        <v>53151.582999999999</v>
      </c>
      <c r="D13" s="9" t="str">
        <f t="shared" si="3"/>
        <v>vis</v>
      </c>
      <c r="E13" s="51">
        <f>VLOOKUP(C13,Active!C$21:E$971,3,FALSE)</f>
        <v>7009.8634714398058</v>
      </c>
      <c r="F13" s="15" t="s">
        <v>61</v>
      </c>
      <c r="G13" s="9" t="str">
        <f t="shared" si="4"/>
        <v>53151.583</v>
      </c>
      <c r="H13" s="12">
        <f t="shared" si="5"/>
        <v>7010</v>
      </c>
      <c r="I13" s="52" t="s">
        <v>92</v>
      </c>
      <c r="J13" s="53" t="s">
        <v>93</v>
      </c>
      <c r="K13" s="52">
        <v>7010</v>
      </c>
      <c r="L13" s="52" t="s">
        <v>94</v>
      </c>
      <c r="M13" s="53" t="s">
        <v>83</v>
      </c>
      <c r="N13" s="53"/>
      <c r="O13" s="54" t="s">
        <v>84</v>
      </c>
      <c r="P13" s="55" t="s">
        <v>95</v>
      </c>
    </row>
    <row r="14" spans="1:16" ht="12.75" customHeight="1" thickBot="1" x14ac:dyDescent="0.25">
      <c r="A14" s="12" t="str">
        <f t="shared" si="0"/>
        <v>BAVM 186 </v>
      </c>
      <c r="B14" s="15" t="str">
        <f t="shared" si="1"/>
        <v>I</v>
      </c>
      <c r="C14" s="12">
        <f t="shared" si="2"/>
        <v>54244.467400000001</v>
      </c>
      <c r="D14" s="9" t="str">
        <f t="shared" si="3"/>
        <v>vis</v>
      </c>
      <c r="E14" s="51">
        <f>VLOOKUP(C14,Active!C$21:E$971,3,FALSE)</f>
        <v>7406.8419891795402</v>
      </c>
      <c r="F14" s="15" t="s">
        <v>61</v>
      </c>
      <c r="G14" s="9" t="str">
        <f t="shared" si="4"/>
        <v>54244.4674</v>
      </c>
      <c r="H14" s="12">
        <f t="shared" si="5"/>
        <v>7407</v>
      </c>
      <c r="I14" s="52" t="s">
        <v>96</v>
      </c>
      <c r="J14" s="53" t="s">
        <v>97</v>
      </c>
      <c r="K14" s="52">
        <v>7407</v>
      </c>
      <c r="L14" s="52" t="s">
        <v>98</v>
      </c>
      <c r="M14" s="53" t="s">
        <v>76</v>
      </c>
      <c r="N14" s="53" t="s">
        <v>99</v>
      </c>
      <c r="O14" s="54" t="s">
        <v>90</v>
      </c>
      <c r="P14" s="55" t="s">
        <v>100</v>
      </c>
    </row>
    <row r="15" spans="1:16" ht="12.75" customHeight="1" thickBot="1" x14ac:dyDescent="0.25">
      <c r="A15" s="12" t="str">
        <f t="shared" si="0"/>
        <v>IBVS 5820 </v>
      </c>
      <c r="B15" s="15" t="str">
        <f t="shared" si="1"/>
        <v>I</v>
      </c>
      <c r="C15" s="12">
        <f t="shared" si="2"/>
        <v>54398.634299999998</v>
      </c>
      <c r="D15" s="9" t="str">
        <f t="shared" si="3"/>
        <v>vis</v>
      </c>
      <c r="E15" s="51">
        <f>VLOOKUP(C15,Active!C$21:E$971,3,FALSE)</f>
        <v>7462.8414594314063</v>
      </c>
      <c r="F15" s="15" t="s">
        <v>61</v>
      </c>
      <c r="G15" s="9" t="str">
        <f t="shared" si="4"/>
        <v>54398.6343</v>
      </c>
      <c r="H15" s="12">
        <f t="shared" si="5"/>
        <v>7463</v>
      </c>
      <c r="I15" s="52" t="s">
        <v>106</v>
      </c>
      <c r="J15" s="53" t="s">
        <v>107</v>
      </c>
      <c r="K15" s="52" t="s">
        <v>108</v>
      </c>
      <c r="L15" s="52" t="s">
        <v>109</v>
      </c>
      <c r="M15" s="53" t="s">
        <v>76</v>
      </c>
      <c r="N15" s="53" t="s">
        <v>110</v>
      </c>
      <c r="O15" s="54" t="s">
        <v>111</v>
      </c>
      <c r="P15" s="55" t="s">
        <v>112</v>
      </c>
    </row>
    <row r="16" spans="1:16" ht="12.75" customHeight="1" thickBot="1" x14ac:dyDescent="0.25">
      <c r="A16" s="12" t="str">
        <f t="shared" si="0"/>
        <v>BAVM 231 </v>
      </c>
      <c r="B16" s="15" t="str">
        <f t="shared" si="1"/>
        <v>II</v>
      </c>
      <c r="C16" s="12">
        <f t="shared" si="2"/>
        <v>56167.405700000003</v>
      </c>
      <c r="D16" s="9" t="str">
        <f t="shared" si="3"/>
        <v>vis</v>
      </c>
      <c r="E16" s="51">
        <f>VLOOKUP(C16,Active!C$21:E$971,3,FALSE)</f>
        <v>8105.3286690506811</v>
      </c>
      <c r="F16" s="15" t="s">
        <v>61</v>
      </c>
      <c r="G16" s="9" t="str">
        <f t="shared" si="4"/>
        <v>56167.4057</v>
      </c>
      <c r="H16" s="12">
        <f t="shared" si="5"/>
        <v>8105.5</v>
      </c>
      <c r="I16" s="52" t="s">
        <v>118</v>
      </c>
      <c r="J16" s="53" t="s">
        <v>119</v>
      </c>
      <c r="K16" s="52" t="s">
        <v>120</v>
      </c>
      <c r="L16" s="52" t="s">
        <v>121</v>
      </c>
      <c r="M16" s="53" t="s">
        <v>76</v>
      </c>
      <c r="N16" s="53" t="s">
        <v>99</v>
      </c>
      <c r="O16" s="54" t="s">
        <v>90</v>
      </c>
      <c r="P16" s="55" t="s">
        <v>122</v>
      </c>
    </row>
    <row r="17" spans="1:16" ht="12.75" customHeight="1" thickBot="1" x14ac:dyDescent="0.25">
      <c r="A17" s="12" t="str">
        <f t="shared" si="0"/>
        <v>OEJV 0160 </v>
      </c>
      <c r="B17" s="15" t="str">
        <f t="shared" si="1"/>
        <v>I</v>
      </c>
      <c r="C17" s="12">
        <f t="shared" si="2"/>
        <v>56496.393210000002</v>
      </c>
      <c r="D17" s="9" t="str">
        <f t="shared" si="3"/>
        <v>vis</v>
      </c>
      <c r="E17" s="51" t="e">
        <f>VLOOKUP(C17,Active!C$21:E$971,3,FALSE)</f>
        <v>#N/A</v>
      </c>
      <c r="F17" s="15" t="s">
        <v>61</v>
      </c>
      <c r="G17" s="9" t="str">
        <f t="shared" si="4"/>
        <v>56496.39321</v>
      </c>
      <c r="H17" s="12">
        <f t="shared" si="5"/>
        <v>8225</v>
      </c>
      <c r="I17" s="52" t="s">
        <v>123</v>
      </c>
      <c r="J17" s="53" t="s">
        <v>124</v>
      </c>
      <c r="K17" s="52" t="s">
        <v>125</v>
      </c>
      <c r="L17" s="52" t="s">
        <v>126</v>
      </c>
      <c r="M17" s="53" t="s">
        <v>76</v>
      </c>
      <c r="N17" s="53" t="s">
        <v>53</v>
      </c>
      <c r="O17" s="54" t="s">
        <v>127</v>
      </c>
      <c r="P17" s="55" t="s">
        <v>128</v>
      </c>
    </row>
    <row r="18" spans="1:16" ht="12.75" customHeight="1" thickBot="1" x14ac:dyDescent="0.25">
      <c r="A18" s="12" t="str">
        <f t="shared" si="0"/>
        <v>BAVM 239</v>
      </c>
      <c r="B18" s="15" t="str">
        <f t="shared" si="1"/>
        <v>II</v>
      </c>
      <c r="C18" s="12">
        <f t="shared" si="2"/>
        <v>56924.463900000002</v>
      </c>
      <c r="D18" s="9" t="str">
        <f t="shared" si="3"/>
        <v>vis</v>
      </c>
      <c r="E18" s="51">
        <f>VLOOKUP(C18,Active!C$21:E$971,3,FALSE)</f>
        <v>8380.3219273300656</v>
      </c>
      <c r="F18" s="15" t="s">
        <v>61</v>
      </c>
      <c r="G18" s="9" t="str">
        <f t="shared" si="4"/>
        <v>56924.4639</v>
      </c>
      <c r="H18" s="12">
        <f t="shared" si="5"/>
        <v>8380.5</v>
      </c>
      <c r="I18" s="52" t="s">
        <v>129</v>
      </c>
      <c r="J18" s="53" t="s">
        <v>130</v>
      </c>
      <c r="K18" s="52" t="s">
        <v>131</v>
      </c>
      <c r="L18" s="52" t="s">
        <v>132</v>
      </c>
      <c r="M18" s="53" t="s">
        <v>76</v>
      </c>
      <c r="N18" s="53" t="s">
        <v>99</v>
      </c>
      <c r="O18" s="54" t="s">
        <v>90</v>
      </c>
      <c r="P18" s="55" t="s">
        <v>133</v>
      </c>
    </row>
    <row r="19" spans="1:16" ht="12.75" customHeight="1" thickBot="1" x14ac:dyDescent="0.25">
      <c r="A19" s="12" t="str">
        <f t="shared" si="0"/>
        <v> RIA 8.374 </v>
      </c>
      <c r="B19" s="15" t="str">
        <f t="shared" si="1"/>
        <v>I</v>
      </c>
      <c r="C19" s="12">
        <f t="shared" si="2"/>
        <v>33206.425999999999</v>
      </c>
      <c r="D19" s="9" t="str">
        <f t="shared" si="3"/>
        <v>vis</v>
      </c>
      <c r="E19" s="51">
        <f>VLOOKUP(C19,Active!C$21:E$971,3,FALSE)</f>
        <v>-235.00054340592843</v>
      </c>
      <c r="F19" s="15" t="s">
        <v>61</v>
      </c>
      <c r="G19" s="9" t="str">
        <f t="shared" si="4"/>
        <v>33206.426</v>
      </c>
      <c r="H19" s="12">
        <f t="shared" si="5"/>
        <v>-235</v>
      </c>
      <c r="I19" s="52" t="s">
        <v>63</v>
      </c>
      <c r="J19" s="53" t="s">
        <v>64</v>
      </c>
      <c r="K19" s="52">
        <v>-235</v>
      </c>
      <c r="L19" s="52" t="s">
        <v>65</v>
      </c>
      <c r="M19" s="53" t="s">
        <v>62</v>
      </c>
      <c r="N19" s="53"/>
      <c r="O19" s="54" t="s">
        <v>66</v>
      </c>
      <c r="P19" s="54" t="s">
        <v>67</v>
      </c>
    </row>
    <row r="20" spans="1:16" ht="12.75" customHeight="1" thickBot="1" x14ac:dyDescent="0.25">
      <c r="A20" s="12" t="str">
        <f t="shared" si="0"/>
        <v> RIA 8.374 </v>
      </c>
      <c r="B20" s="15" t="str">
        <f t="shared" si="1"/>
        <v>I</v>
      </c>
      <c r="C20" s="12">
        <f t="shared" si="2"/>
        <v>33853.387999999999</v>
      </c>
      <c r="D20" s="9" t="str">
        <f t="shared" si="3"/>
        <v>vis</v>
      </c>
      <c r="E20" s="51">
        <f>VLOOKUP(C20,Active!C$21:E$971,3,FALSE)</f>
        <v>1.4529570293824626E-3</v>
      </c>
      <c r="F20" s="15" t="s">
        <v>61</v>
      </c>
      <c r="G20" s="9" t="str">
        <f t="shared" si="4"/>
        <v>33853.388</v>
      </c>
      <c r="H20" s="12">
        <f t="shared" si="5"/>
        <v>0</v>
      </c>
      <c r="I20" s="52" t="s">
        <v>68</v>
      </c>
      <c r="J20" s="53" t="s">
        <v>69</v>
      </c>
      <c r="K20" s="52">
        <v>0</v>
      </c>
      <c r="L20" s="52" t="s">
        <v>70</v>
      </c>
      <c r="M20" s="53" t="s">
        <v>62</v>
      </c>
      <c r="N20" s="53"/>
      <c r="O20" s="54" t="s">
        <v>66</v>
      </c>
      <c r="P20" s="54" t="s">
        <v>67</v>
      </c>
    </row>
    <row r="21" spans="1:16" ht="12.75" customHeight="1" thickBot="1" x14ac:dyDescent="0.25">
      <c r="A21" s="12" t="str">
        <f t="shared" si="0"/>
        <v> RIA 8.374 </v>
      </c>
      <c r="B21" s="15" t="str">
        <f t="shared" si="1"/>
        <v>I</v>
      </c>
      <c r="C21" s="12">
        <f t="shared" si="2"/>
        <v>34712.321000000004</v>
      </c>
      <c r="D21" s="9" t="str">
        <f t="shared" si="3"/>
        <v>vis</v>
      </c>
      <c r="E21" s="51">
        <f>VLOOKUP(C21,Active!C$21:E$971,3,FALSE)</f>
        <v>311.9996379231103</v>
      </c>
      <c r="F21" s="15" t="s">
        <v>61</v>
      </c>
      <c r="G21" s="9" t="str">
        <f t="shared" si="4"/>
        <v>34712.321</v>
      </c>
      <c r="H21" s="12">
        <f t="shared" si="5"/>
        <v>312</v>
      </c>
      <c r="I21" s="52" t="s">
        <v>71</v>
      </c>
      <c r="J21" s="53" t="s">
        <v>72</v>
      </c>
      <c r="K21" s="52">
        <v>312</v>
      </c>
      <c r="L21" s="52" t="s">
        <v>65</v>
      </c>
      <c r="M21" s="53" t="s">
        <v>62</v>
      </c>
      <c r="N21" s="53"/>
      <c r="O21" s="54" t="s">
        <v>66</v>
      </c>
      <c r="P21" s="54" t="s">
        <v>67</v>
      </c>
    </row>
    <row r="22" spans="1:16" ht="12.75" customHeight="1" thickBot="1" x14ac:dyDescent="0.25">
      <c r="A22" s="12" t="str">
        <f t="shared" si="0"/>
        <v>BAVM 171 </v>
      </c>
      <c r="B22" s="15" t="str">
        <f t="shared" si="1"/>
        <v>I</v>
      </c>
      <c r="C22" s="12">
        <f t="shared" si="2"/>
        <v>52898.33</v>
      </c>
      <c r="D22" s="9" t="str">
        <f t="shared" si="3"/>
        <v>vis</v>
      </c>
      <c r="E22" s="51">
        <f>VLOOKUP(C22,Active!C$21:E$971,3,FALSE)</f>
        <v>6917.8720398179985</v>
      </c>
      <c r="F22" s="15" t="s">
        <v>61</v>
      </c>
      <c r="G22" s="9" t="str">
        <f t="shared" si="4"/>
        <v>52898.33</v>
      </c>
      <c r="H22" s="12">
        <f t="shared" si="5"/>
        <v>6918</v>
      </c>
      <c r="I22" s="52" t="s">
        <v>80</v>
      </c>
      <c r="J22" s="53" t="s">
        <v>81</v>
      </c>
      <c r="K22" s="52">
        <v>6918</v>
      </c>
      <c r="L22" s="52" t="s">
        <v>82</v>
      </c>
      <c r="M22" s="53" t="s">
        <v>83</v>
      </c>
      <c r="N22" s="53"/>
      <c r="O22" s="54" t="s">
        <v>84</v>
      </c>
      <c r="P22" s="55" t="s">
        <v>85</v>
      </c>
    </row>
    <row r="23" spans="1:16" ht="12.75" customHeight="1" thickBot="1" x14ac:dyDescent="0.25">
      <c r="A23" s="12" t="str">
        <f t="shared" si="0"/>
        <v>BAVM 193 </v>
      </c>
      <c r="B23" s="15" t="str">
        <f t="shared" si="1"/>
        <v>I</v>
      </c>
      <c r="C23" s="12">
        <f t="shared" si="2"/>
        <v>54357.352599999998</v>
      </c>
      <c r="D23" s="9" t="str">
        <f t="shared" si="3"/>
        <v>vis</v>
      </c>
      <c r="E23" s="51">
        <f>VLOOKUP(C23,Active!C$21:E$971,3,FALSE)</f>
        <v>7447.8463253844966</v>
      </c>
      <c r="F23" s="15" t="s">
        <v>61</v>
      </c>
      <c r="G23" s="9" t="str">
        <f t="shared" si="4"/>
        <v>54357.3526</v>
      </c>
      <c r="H23" s="12">
        <f t="shared" si="5"/>
        <v>7448</v>
      </c>
      <c r="I23" s="52" t="s">
        <v>101</v>
      </c>
      <c r="J23" s="53" t="s">
        <v>102</v>
      </c>
      <c r="K23" s="52" t="s">
        <v>103</v>
      </c>
      <c r="L23" s="52" t="s">
        <v>104</v>
      </c>
      <c r="M23" s="53" t="s">
        <v>76</v>
      </c>
      <c r="N23" s="53" t="s">
        <v>99</v>
      </c>
      <c r="O23" s="54" t="s">
        <v>90</v>
      </c>
      <c r="P23" s="55" t="s">
        <v>105</v>
      </c>
    </row>
    <row r="24" spans="1:16" ht="12.75" customHeight="1" thickBot="1" x14ac:dyDescent="0.25">
      <c r="A24" s="12" t="str">
        <f t="shared" si="0"/>
        <v>BAVM 225 </v>
      </c>
      <c r="B24" s="15" t="str">
        <f t="shared" si="1"/>
        <v>I</v>
      </c>
      <c r="C24" s="12">
        <f t="shared" si="2"/>
        <v>55805.384599999998</v>
      </c>
      <c r="D24" s="9" t="str">
        <f t="shared" si="3"/>
        <v>vis</v>
      </c>
      <c r="E24" s="51">
        <f>VLOOKUP(C24,Active!C$21:E$971,3,FALSE)</f>
        <v>7973.8283935700265</v>
      </c>
      <c r="F24" s="15" t="s">
        <v>61</v>
      </c>
      <c r="G24" s="9" t="str">
        <f t="shared" si="4"/>
        <v>55805.3846</v>
      </c>
      <c r="H24" s="12">
        <f t="shared" si="5"/>
        <v>7974</v>
      </c>
      <c r="I24" s="52" t="s">
        <v>113</v>
      </c>
      <c r="J24" s="53" t="s">
        <v>114</v>
      </c>
      <c r="K24" s="52" t="s">
        <v>115</v>
      </c>
      <c r="L24" s="52" t="s">
        <v>116</v>
      </c>
      <c r="M24" s="53" t="s">
        <v>76</v>
      </c>
      <c r="N24" s="53" t="s">
        <v>99</v>
      </c>
      <c r="O24" s="54" t="s">
        <v>90</v>
      </c>
      <c r="P24" s="55" t="s">
        <v>117</v>
      </c>
    </row>
    <row r="25" spans="1:16" x14ac:dyDescent="0.2">
      <c r="B25" s="15"/>
      <c r="F25" s="15"/>
    </row>
    <row r="26" spans="1:16" x14ac:dyDescent="0.2">
      <c r="B26" s="15"/>
      <c r="F26" s="15"/>
    </row>
    <row r="27" spans="1:16" x14ac:dyDescent="0.2">
      <c r="B27" s="15"/>
      <c r="F27" s="15"/>
    </row>
    <row r="28" spans="1:16" x14ac:dyDescent="0.2">
      <c r="B28" s="15"/>
      <c r="F28" s="15"/>
    </row>
    <row r="29" spans="1:16" x14ac:dyDescent="0.2">
      <c r="B29" s="15"/>
      <c r="F29" s="15"/>
    </row>
    <row r="30" spans="1:16" x14ac:dyDescent="0.2">
      <c r="B30" s="15"/>
      <c r="F30" s="15"/>
    </row>
    <row r="31" spans="1:16" x14ac:dyDescent="0.2">
      <c r="B31" s="15"/>
      <c r="F31" s="15"/>
    </row>
    <row r="32" spans="1:16" x14ac:dyDescent="0.2">
      <c r="B32" s="15"/>
      <c r="F32" s="15"/>
    </row>
    <row r="33" spans="2:6" x14ac:dyDescent="0.2">
      <c r="B33" s="15"/>
      <c r="F33" s="15"/>
    </row>
    <row r="34" spans="2:6" x14ac:dyDescent="0.2">
      <c r="B34" s="15"/>
      <c r="F34" s="15"/>
    </row>
    <row r="35" spans="2:6" x14ac:dyDescent="0.2">
      <c r="B35" s="15"/>
      <c r="F35" s="15"/>
    </row>
    <row r="36" spans="2:6" x14ac:dyDescent="0.2">
      <c r="B36" s="15"/>
      <c r="F36" s="15"/>
    </row>
    <row r="37" spans="2:6" x14ac:dyDescent="0.2">
      <c r="B37" s="15"/>
      <c r="F37" s="15"/>
    </row>
    <row r="38" spans="2:6" x14ac:dyDescent="0.2">
      <c r="B38" s="15"/>
      <c r="F38" s="15"/>
    </row>
    <row r="39" spans="2:6" x14ac:dyDescent="0.2">
      <c r="B39" s="15"/>
      <c r="F39" s="15"/>
    </row>
    <row r="40" spans="2:6" x14ac:dyDescent="0.2">
      <c r="B40" s="15"/>
      <c r="F40" s="15"/>
    </row>
    <row r="41" spans="2:6" x14ac:dyDescent="0.2">
      <c r="B41" s="15"/>
      <c r="F41" s="15"/>
    </row>
    <row r="42" spans="2:6" x14ac:dyDescent="0.2">
      <c r="B42" s="15"/>
      <c r="F42" s="15"/>
    </row>
    <row r="43" spans="2:6" x14ac:dyDescent="0.2">
      <c r="B43" s="15"/>
      <c r="F43" s="15"/>
    </row>
    <row r="44" spans="2:6" x14ac:dyDescent="0.2">
      <c r="B44" s="15"/>
      <c r="F44" s="15"/>
    </row>
    <row r="45" spans="2:6" x14ac:dyDescent="0.2">
      <c r="B45" s="15"/>
      <c r="F45" s="15"/>
    </row>
    <row r="46" spans="2:6" x14ac:dyDescent="0.2">
      <c r="B46" s="15"/>
      <c r="F46" s="15"/>
    </row>
    <row r="47" spans="2:6" x14ac:dyDescent="0.2">
      <c r="B47" s="15"/>
      <c r="F47" s="15"/>
    </row>
    <row r="48" spans="2: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</sheetData>
  <phoneticPr fontId="8" type="noConversion"/>
  <hyperlinks>
    <hyperlink ref="P11" r:id="rId1" display="http://var.astro.cz/oejv/issues/oejv0074.pdf" xr:uid="{00000000-0004-0000-0100-000000000000}"/>
    <hyperlink ref="P22" r:id="rId2" display="http://www.bav-astro.de/sfs/BAVM_link.php?BAVMnr=171" xr:uid="{00000000-0004-0000-0100-000001000000}"/>
    <hyperlink ref="P12" r:id="rId3" display="http://www.bav-astro.de/sfs/BAVM_link.php?BAVMnr=172" xr:uid="{00000000-0004-0000-0100-000002000000}"/>
    <hyperlink ref="P13" r:id="rId4" display="http://www.bav-astro.de/sfs/BAVM_link.php?BAVMnr=174" xr:uid="{00000000-0004-0000-0100-000003000000}"/>
    <hyperlink ref="P14" r:id="rId5" display="http://www.bav-astro.de/sfs/BAVM_link.php?BAVMnr=186" xr:uid="{00000000-0004-0000-0100-000004000000}"/>
    <hyperlink ref="P23" r:id="rId6" display="http://www.bav-astro.de/sfs/BAVM_link.php?BAVMnr=193" xr:uid="{00000000-0004-0000-0100-000005000000}"/>
    <hyperlink ref="P15" r:id="rId7" display="http://www.konkoly.hu/cgi-bin/IBVS?5820" xr:uid="{00000000-0004-0000-0100-000006000000}"/>
    <hyperlink ref="P24" r:id="rId8" display="http://www.bav-astro.de/sfs/BAVM_link.php?BAVMnr=225" xr:uid="{00000000-0004-0000-0100-000007000000}"/>
    <hyperlink ref="P16" r:id="rId9" display="http://www.bav-astro.de/sfs/BAVM_link.php?BAVMnr=231" xr:uid="{00000000-0004-0000-0100-000008000000}"/>
    <hyperlink ref="P17" r:id="rId10" display="http://var.astro.cz/oejv/issues/oejv0160.pdf" xr:uid="{00000000-0004-0000-0100-000009000000}"/>
    <hyperlink ref="P18" r:id="rId11" display="http://www.bav-astro.de/sfs/BAVM_link.php?BAVMnr=239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2024-01-23T03:44:47Z</dcterms:modified>
</cp:coreProperties>
</file>