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467AD84-96C5-4A41-B792-A5DFF0B2E0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9" i="1" l="1"/>
  <c r="F59" i="1" s="1"/>
  <c r="G59" i="1" s="1"/>
  <c r="K59" i="1" s="1"/>
  <c r="Q59" i="1"/>
  <c r="Q58" i="1"/>
  <c r="E27" i="1"/>
  <c r="F27" i="1"/>
  <c r="E38" i="1"/>
  <c r="F38" i="1"/>
  <c r="E48" i="1"/>
  <c r="F48" i="1"/>
  <c r="E47" i="1"/>
  <c r="F47" i="1"/>
  <c r="F16" i="1"/>
  <c r="F17" i="1" s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G14" i="2"/>
  <c r="C14" i="2"/>
  <c r="G13" i="2"/>
  <c r="C13" i="2"/>
  <c r="G12" i="2"/>
  <c r="C12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E41" i="2"/>
  <c r="G40" i="2"/>
  <c r="C40" i="2"/>
  <c r="E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E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E20" i="2"/>
  <c r="G19" i="2"/>
  <c r="C19" i="2"/>
  <c r="G18" i="2"/>
  <c r="C18" i="2"/>
  <c r="G17" i="2"/>
  <c r="C17" i="2"/>
  <c r="G11" i="2"/>
  <c r="C11" i="2"/>
  <c r="G16" i="2"/>
  <c r="C16" i="2"/>
  <c r="G15" i="2"/>
  <c r="C15" i="2"/>
  <c r="H14" i="2"/>
  <c r="B14" i="2"/>
  <c r="D14" i="2"/>
  <c r="A14" i="2"/>
  <c r="H13" i="2"/>
  <c r="B13" i="2"/>
  <c r="D13" i="2"/>
  <c r="A13" i="2"/>
  <c r="H12" i="2"/>
  <c r="B12" i="2"/>
  <c r="D12" i="2"/>
  <c r="A12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1" i="2"/>
  <c r="B11" i="2"/>
  <c r="D11" i="2"/>
  <c r="A11" i="2"/>
  <c r="H16" i="2"/>
  <c r="B16" i="2"/>
  <c r="D16" i="2"/>
  <c r="A16" i="2"/>
  <c r="H15" i="2"/>
  <c r="B15" i="2"/>
  <c r="D15" i="2"/>
  <c r="A15" i="2"/>
  <c r="C17" i="1"/>
  <c r="Q55" i="1"/>
  <c r="Q56" i="1"/>
  <c r="Q57" i="1"/>
  <c r="C7" i="1"/>
  <c r="E58" i="1"/>
  <c r="F58" i="1"/>
  <c r="C8" i="1"/>
  <c r="Q21" i="1"/>
  <c r="E46" i="2"/>
  <c r="E17" i="2"/>
  <c r="E13" i="2"/>
  <c r="E23" i="2"/>
  <c r="E33" i="2"/>
  <c r="E39" i="2"/>
  <c r="E24" i="1"/>
  <c r="F24" i="1"/>
  <c r="E52" i="1"/>
  <c r="F52" i="1"/>
  <c r="E41" i="1"/>
  <c r="F41" i="1"/>
  <c r="E30" i="1"/>
  <c r="F30" i="1"/>
  <c r="G30" i="1"/>
  <c r="I30" i="1"/>
  <c r="E34" i="1"/>
  <c r="E55" i="1"/>
  <c r="F55" i="1"/>
  <c r="G55" i="1"/>
  <c r="I55" i="1"/>
  <c r="E33" i="1"/>
  <c r="F33" i="1"/>
  <c r="G33" i="1"/>
  <c r="I33" i="1"/>
  <c r="E53" i="1"/>
  <c r="F53" i="1"/>
  <c r="G53" i="1"/>
  <c r="H53" i="1"/>
  <c r="G32" i="1"/>
  <c r="H32" i="1"/>
  <c r="G54" i="1"/>
  <c r="I54" i="1"/>
  <c r="E51" i="1"/>
  <c r="E40" i="1"/>
  <c r="F40" i="1"/>
  <c r="G40" i="1"/>
  <c r="I40" i="1"/>
  <c r="E29" i="1"/>
  <c r="F29" i="1"/>
  <c r="G29" i="1"/>
  <c r="I29" i="1"/>
  <c r="E43" i="1"/>
  <c r="E23" i="1"/>
  <c r="F23" i="1"/>
  <c r="G23" i="1"/>
  <c r="I23" i="1"/>
  <c r="E46" i="1"/>
  <c r="F46" i="1"/>
  <c r="G46" i="1"/>
  <c r="H46" i="1"/>
  <c r="E57" i="1"/>
  <c r="F57" i="1"/>
  <c r="G57" i="1"/>
  <c r="I57" i="1"/>
  <c r="E45" i="1"/>
  <c r="F45" i="1"/>
  <c r="G45" i="1"/>
  <c r="I45" i="1"/>
  <c r="G39" i="1"/>
  <c r="I39" i="1"/>
  <c r="E36" i="1"/>
  <c r="F36" i="1"/>
  <c r="G36" i="1"/>
  <c r="I36" i="1"/>
  <c r="G28" i="1"/>
  <c r="I28" i="1"/>
  <c r="E26" i="1"/>
  <c r="E32" i="1"/>
  <c r="F32" i="1"/>
  <c r="E54" i="1"/>
  <c r="F54" i="1"/>
  <c r="E42" i="1"/>
  <c r="E31" i="1"/>
  <c r="F31" i="1"/>
  <c r="G31" i="1"/>
  <c r="I31" i="1"/>
  <c r="E22" i="1"/>
  <c r="F22" i="1"/>
  <c r="G22" i="1"/>
  <c r="I22" i="1"/>
  <c r="G58" i="1"/>
  <c r="K58" i="1"/>
  <c r="E50" i="1"/>
  <c r="F50" i="1"/>
  <c r="G50" i="1"/>
  <c r="H50" i="1"/>
  <c r="G24" i="1"/>
  <c r="H24" i="1"/>
  <c r="G52" i="1"/>
  <c r="I52" i="1"/>
  <c r="E49" i="1"/>
  <c r="F49" i="1"/>
  <c r="G49" i="1"/>
  <c r="I49" i="1"/>
  <c r="G41" i="1"/>
  <c r="I41" i="1"/>
  <c r="E39" i="1"/>
  <c r="F39" i="1"/>
  <c r="E28" i="1"/>
  <c r="F28" i="1"/>
  <c r="G47" i="1"/>
  <c r="H47" i="1"/>
  <c r="E37" i="1"/>
  <c r="F37" i="1"/>
  <c r="G37" i="1"/>
  <c r="H37" i="1"/>
  <c r="E56" i="1"/>
  <c r="F56" i="1"/>
  <c r="G56" i="1"/>
  <c r="I56" i="1"/>
  <c r="G48" i="1"/>
  <c r="I48" i="1"/>
  <c r="E44" i="1"/>
  <c r="F44" i="1"/>
  <c r="G44" i="1"/>
  <c r="I44" i="1"/>
  <c r="G38" i="1"/>
  <c r="I38" i="1"/>
  <c r="E35" i="1"/>
  <c r="G27" i="1"/>
  <c r="I27" i="1"/>
  <c r="E25" i="1"/>
  <c r="F25" i="1"/>
  <c r="G25" i="1"/>
  <c r="I25" i="1"/>
  <c r="E21" i="1"/>
  <c r="F21" i="1"/>
  <c r="G21" i="1"/>
  <c r="E19" i="2"/>
  <c r="F26" i="1"/>
  <c r="G26" i="1"/>
  <c r="E44" i="2"/>
  <c r="F51" i="1"/>
  <c r="G51" i="1"/>
  <c r="I51" i="1"/>
  <c r="E27" i="2"/>
  <c r="F34" i="1"/>
  <c r="G34" i="1"/>
  <c r="H34" i="1"/>
  <c r="E38" i="2"/>
  <c r="E26" i="2"/>
  <c r="H21" i="1"/>
  <c r="E11" i="2"/>
  <c r="E32" i="2"/>
  <c r="E45" i="2"/>
  <c r="F43" i="1"/>
  <c r="G43" i="1"/>
  <c r="I43" i="1"/>
  <c r="E36" i="2"/>
  <c r="E24" i="2"/>
  <c r="E43" i="2"/>
  <c r="E21" i="2"/>
  <c r="E34" i="2"/>
  <c r="E42" i="2"/>
  <c r="E15" i="2"/>
  <c r="E37" i="2"/>
  <c r="E47" i="2"/>
  <c r="E16" i="2"/>
  <c r="E22" i="2"/>
  <c r="E29" i="2"/>
  <c r="E30" i="2"/>
  <c r="E35" i="2"/>
  <c r="F42" i="1"/>
  <c r="G42" i="1"/>
  <c r="I42" i="1"/>
  <c r="F35" i="1"/>
  <c r="G35" i="1"/>
  <c r="I35" i="1"/>
  <c r="E28" i="2"/>
  <c r="E14" i="2"/>
  <c r="E18" i="2"/>
  <c r="E12" i="2"/>
  <c r="E25" i="2"/>
  <c r="I26" i="1"/>
  <c r="C12" i="1"/>
  <c r="C11" i="1"/>
  <c r="O59" i="1" l="1"/>
  <c r="O56" i="1"/>
  <c r="O44" i="1"/>
  <c r="O57" i="1"/>
  <c r="O50" i="1"/>
  <c r="O48" i="1"/>
  <c r="O25" i="1"/>
  <c r="O52" i="1"/>
  <c r="O29" i="1"/>
  <c r="O40" i="1"/>
  <c r="C15" i="1"/>
  <c r="O33" i="1"/>
  <c r="O21" i="1"/>
  <c r="O37" i="1"/>
  <c r="O27" i="1"/>
  <c r="O22" i="1"/>
  <c r="O41" i="1"/>
  <c r="O58" i="1"/>
  <c r="O45" i="1"/>
  <c r="O35" i="1"/>
  <c r="O38" i="1"/>
  <c r="O32" i="1"/>
  <c r="O31" i="1"/>
  <c r="O26" i="1"/>
  <c r="O51" i="1"/>
  <c r="O46" i="1"/>
  <c r="O28" i="1"/>
  <c r="O39" i="1"/>
  <c r="O34" i="1"/>
  <c r="O55" i="1"/>
  <c r="O30" i="1"/>
  <c r="O43" i="1"/>
  <c r="O54" i="1"/>
  <c r="O24" i="1"/>
  <c r="O49" i="1"/>
  <c r="O36" i="1"/>
  <c r="O23" i="1"/>
  <c r="O47" i="1"/>
  <c r="O53" i="1"/>
  <c r="O4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<sst xmlns="http://schemas.openxmlformats.org/spreadsheetml/2006/main" count="429" uniqueCount="181">
  <si>
    <t>QZ Cep / GSC 4292-0112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</si>
  <si>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</si>
  <si>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</si>
  <si>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</si>
  <si>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</si>
  <si>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</si>
  <si>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</si>
  <si>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</si>
  <si>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</si>
  <si>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</si>
  <si>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</si>
  <si>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</si>
  <si>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</si>
  <si>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</si>
  <si>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</si>
  <si>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</si>
  <si>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</si>
  <si>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</si>
  <si>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</si>
  <si>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</si>
  <si>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</si>
  <si>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</si>
  <si>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</si>
  <si>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</si>
  <si>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</si>
  <si>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</si>
  <si>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</si>
  <si>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</si>
  <si>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</si>
  <si>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</si>
  <si>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Vandenbroere J</t>
  </si>
  <si>
    <t>BBSAG Bull.95</t>
  </si>
  <si>
    <t>B</t>
  </si>
  <si>
    <t>BBSAG Bull.98</t>
  </si>
  <si>
    <t>BBSAG Bull.99</t>
  </si>
  <si>
    <t># of data points:</t>
  </si>
  <si>
    <t>EB/KE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</si>
  <si>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</si>
  <si>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</si>
  <si>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</si>
  <si>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</si>
  <si>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</si>
  <si>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</si>
  <si>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</si>
  <si>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</si>
  <si>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</si>
  <si>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</si>
  <si>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</si>
  <si>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</si>
  <si>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2436482.405 </t>
  </si>
  <si>
    <t> 05.10.1958 21:43 </t>
  </si>
  <si>
    <t> -0.348 </t>
  </si>
  <si>
    <t>P </t>
  </si>
  <si>
    <t> T.Berthold </t>
  </si>
  <si>
    <t> MHAR 21.11 </t>
  </si>
  <si>
    <t>2436810.512 </t>
  </si>
  <si>
    <t> 30.08.1959 00:17 </t>
  </si>
  <si>
    <t> -0.169 </t>
  </si>
  <si>
    <t>2437017.434 </t>
  </si>
  <si>
    <t> 23.03.1960 22:24 </t>
  </si>
  <si>
    <t> 0.000 </t>
  </si>
  <si>
    <t>IBVS 1115 </t>
  </si>
  <si>
    <t>2437045.410 </t>
  </si>
  <si>
    <t> 20.04.1960 21:50 </t>
  </si>
  <si>
    <t> -0.046 </t>
  </si>
  <si>
    <t>2437348.428 </t>
  </si>
  <si>
    <t> 17.02.1961 22:16 </t>
  </si>
  <si>
    <t> 0.037 </t>
  </si>
  <si>
    <t>2437545.423 </t>
  </si>
  <si>
    <t> 02.09.1961 22:09 </t>
  </si>
  <si>
    <t> 0.124 </t>
  </si>
  <si>
    <t>2437558.501 </t>
  </si>
  <si>
    <t> 16.09.1961 00:01 </t>
  </si>
  <si>
    <t> 0.327 </t>
  </si>
  <si>
    <t>2437932.633 </t>
  </si>
  <si>
    <t> 25.09.1962 03:11 </t>
  </si>
  <si>
    <t> 0.334 </t>
  </si>
  <si>
    <t>2438001.426 </t>
  </si>
  <si>
    <t> 02.12.1962 22:13 </t>
  </si>
  <si>
    <t> 0.209 </t>
  </si>
  <si>
    <t>2438372.302 </t>
  </si>
  <si>
    <t> 08.12.1963 19:14 </t>
  </si>
  <si>
    <t> -0.011 </t>
  </si>
  <si>
    <t>2438467.306 </t>
  </si>
  <si>
    <t> 12.03.1964 19:20 </t>
  </si>
  <si>
    <t> 0.326 </t>
  </si>
  <si>
    <t>2439027.430 </t>
  </si>
  <si>
    <t> 23.09.1965 22:19 </t>
  </si>
  <si>
    <t> 0.019 </t>
  </si>
  <si>
    <t>2439028.422 </t>
  </si>
  <si>
    <t> 24.09.1965 22:07 </t>
  </si>
  <si>
    <t> 0.254 </t>
  </si>
  <si>
    <t>2439033.483 </t>
  </si>
  <si>
    <t> 29.09.1965 23:35 </t>
  </si>
  <si>
    <t> 0.013 </t>
  </si>
  <si>
    <t>2439179.310 </t>
  </si>
  <si>
    <t> 22.02.1966 19:26 </t>
  </si>
  <si>
    <t> 0.431 </t>
  </si>
  <si>
    <t>2439379.479 </t>
  </si>
  <si>
    <t> 10.09.1966 23:29 </t>
  </si>
  <si>
    <t> -0.094 </t>
  </si>
  <si>
    <t>2439389.404 </t>
  </si>
  <si>
    <t> 20.09.1966 21:41 </t>
  </si>
  <si>
    <t> -0.015 </t>
  </si>
  <si>
    <t>2439684.515 </t>
  </si>
  <si>
    <t> 13.07.1967 00:21 </t>
  </si>
  <si>
    <t> -0.266 </t>
  </si>
  <si>
    <t>2440127.432 </t>
  </si>
  <si>
    <t> 27.09.1968 22:22 </t>
  </si>
  <si>
    <t> -0.392 </t>
  </si>
  <si>
    <t>2440150.452 </t>
  </si>
  <si>
    <t> 20.10.1968 22:50 </t>
  </si>
  <si>
    <t> -0.092 </t>
  </si>
  <si>
    <t>2440232.320 </t>
  </si>
  <si>
    <t> 10.01.1969 19:40 </t>
  </si>
  <si>
    <t> -0.017 </t>
  </si>
  <si>
    <t>2440419.512 </t>
  </si>
  <si>
    <t> 17.07.1969 00:17 </t>
  </si>
  <si>
    <t> 0.113 </t>
  </si>
  <si>
    <t>2440478.503 </t>
  </si>
  <si>
    <t> 14.09.1969 00:04 </t>
  </si>
  <si>
    <t> 0.031 </t>
  </si>
  <si>
    <t>2440839.480 </t>
  </si>
  <si>
    <t> 09.09.1970 23:31 </t>
  </si>
  <si>
    <t> -0.242 </t>
  </si>
  <si>
    <t>2441249.403 </t>
  </si>
  <si>
    <t> 24.10.1971 21:40 </t>
  </si>
  <si>
    <t> -0.040 </t>
  </si>
  <si>
    <t>2441596.301 </t>
  </si>
  <si>
    <t> 05.10.1972 19:13 </t>
  </si>
  <si>
    <t>2441599.333 </t>
  </si>
  <si>
    <t> 08.10.1972 19:59 </t>
  </si>
  <si>
    <t> -0.000 </t>
  </si>
  <si>
    <t>2441600.459 </t>
  </si>
  <si>
    <t> 09.10.1972 23:00 </t>
  </si>
  <si>
    <t> -0.389 </t>
  </si>
  <si>
    <t>2441679.293 </t>
  </si>
  <si>
    <t> 27.12.1972 19:01 </t>
  </si>
  <si>
    <t> -0.318 </t>
  </si>
  <si>
    <t>2441958.308 </t>
  </si>
  <si>
    <t> 02.10.1973 19:23 </t>
  </si>
  <si>
    <t> -0.004 </t>
  </si>
  <si>
    <t>2441961.460 </t>
  </si>
  <si>
    <t> 05.10.1973 23:02 </t>
  </si>
  <si>
    <t> 0.119 </t>
  </si>
  <si>
    <t>2441984.445 </t>
  </si>
  <si>
    <t> 28.10.1973 22:40 </t>
  </si>
  <si>
    <t> 0.384 </t>
  </si>
  <si>
    <t>2442036.310 </t>
  </si>
  <si>
    <t> 19.12.1973 19:26 </t>
  </si>
  <si>
    <t> 0.750 </t>
  </si>
  <si>
    <t>2442358.352 </t>
  </si>
  <si>
    <t> 06.11.1974 20:26 </t>
  </si>
  <si>
    <t> 0.165 </t>
  </si>
  <si>
    <t>2447968.512 </t>
  </si>
  <si>
    <t> 18.03.1990 00:17 </t>
  </si>
  <si>
    <t>V </t>
  </si>
  <si>
    <t> J.Vandenbroere </t>
  </si>
  <si>
    <t> BBS 95 </t>
  </si>
  <si>
    <t>2448218.411 </t>
  </si>
  <si>
    <t> 22.11.1990 21:51 </t>
  </si>
  <si>
    <t> -0.062 </t>
  </si>
  <si>
    <t> BBS 98 </t>
  </si>
  <si>
    <t>2448536.477 </t>
  </si>
  <si>
    <t> 06.10.1991 23:26 </t>
  </si>
  <si>
    <t> -0.079 </t>
  </si>
  <si>
    <t> BBS 99 </t>
  </si>
  <si>
    <t>I</t>
  </si>
  <si>
    <t>II</t>
  </si>
  <si>
    <t>My time zone &gt;&gt;&gt;&gt;&gt;</t>
  </si>
  <si>
    <t>(PST=8, PDT=MDT=7, MDT=CST=6, etc.)</t>
  </si>
  <si>
    <t>Start of linear fit (row #)</t>
  </si>
  <si>
    <t>Add cycle</t>
  </si>
  <si>
    <t>JD today</t>
  </si>
  <si>
    <t>Old Cycle</t>
  </si>
  <si>
    <t>New Cycle</t>
  </si>
  <si>
    <t>Next ToM</t>
  </si>
  <si>
    <t>BAD?</t>
  </si>
  <si>
    <t>IBVS 1115</t>
  </si>
  <si>
    <t>OEJV 0179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</si>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</sst>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5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5" fillId="0" borderId="1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4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4" fillId="24" borderId="18" xfId="38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0" fontId="17" fillId="0" borderId="0" xfId="0" applyFont="1" applyAlignment="1"/>
    <xf numFmtId="0" fontId="18" fillId="0" borderId="0" xfId="0" applyFont="1" applyAlignment="1"/>
    <xf numFmtId="0" fontId="12" fillId="0" borderId="0" xfId="0" applyFont="1">
      <alignment vertical="top"/>
    </xf>
    <xf numFmtId="0" fontId="11" fillId="0" borderId="0" xfId="0" applyFont="1">
      <alignment vertical="top"/>
    </xf>
    <xf numFmtId="22" fontId="9" fillId="0" borderId="0" xfId="0" applyNumberFormat="1" applyFont="1">
      <alignment vertical="top"/>
    </xf>
    <xf numFmtId="0" fontId="19" fillId="0" borderId="10" xfId="0" applyFont="1" applyBorder="1" applyAlignment="1">
      <alignment horizontal="center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QZ Cep - O-C Diagr.</a:t>
            </a:r>
          </a:p>
        </c:rich>
      </c:tx>
      <c:layout>
        <c:manualLayout>
          <c:xMode val="edge"/>
          <c:yMode val="edge"/>
          <c:x val="0.3871456202503834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595090905109"/>
          <c:y val="0.15"/>
          <c:w val="0.82959762354847422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-353</c:v>
                </c:pt>
                <c:pt idx="2">
                  <c:v>-136.5</c:v>
                </c:pt>
                <c:pt idx="3">
                  <c:v>18.5</c:v>
                </c:pt>
                <c:pt idx="4">
                  <c:v>218.5</c:v>
                </c:pt>
                <c:pt idx="5">
                  <c:v>348.5</c:v>
                </c:pt>
                <c:pt idx="6">
                  <c:v>357</c:v>
                </c:pt>
                <c:pt idx="7">
                  <c:v>604</c:v>
                </c:pt>
                <c:pt idx="8">
                  <c:v>649.5</c:v>
                </c:pt>
                <c:pt idx="9">
                  <c:v>894.5</c:v>
                </c:pt>
                <c:pt idx="10">
                  <c:v>957</c:v>
                </c:pt>
                <c:pt idx="11">
                  <c:v>1327</c:v>
                </c:pt>
                <c:pt idx="12">
                  <c:v>1327.5</c:v>
                </c:pt>
                <c:pt idx="13">
                  <c:v>1331</c:v>
                </c:pt>
                <c:pt idx="14">
                  <c:v>1427.5</c:v>
                </c:pt>
                <c:pt idx="15">
                  <c:v>1559.5</c:v>
                </c:pt>
                <c:pt idx="16">
                  <c:v>1566</c:v>
                </c:pt>
                <c:pt idx="17">
                  <c:v>1761</c:v>
                </c:pt>
                <c:pt idx="18">
                  <c:v>2053</c:v>
                </c:pt>
                <c:pt idx="19">
                  <c:v>2068.5</c:v>
                </c:pt>
                <c:pt idx="20">
                  <c:v>2122.5</c:v>
                </c:pt>
                <c:pt idx="21">
                  <c:v>2246</c:v>
                </c:pt>
                <c:pt idx="22">
                  <c:v>2285</c:v>
                </c:pt>
                <c:pt idx="23">
                  <c:v>2523.5</c:v>
                </c:pt>
                <c:pt idx="24">
                  <c:v>2794</c:v>
                </c:pt>
                <c:pt idx="25">
                  <c:v>3023</c:v>
                </c:pt>
                <c:pt idx="26">
                  <c:v>3025</c:v>
                </c:pt>
                <c:pt idx="27">
                  <c:v>3025.5</c:v>
                </c:pt>
                <c:pt idx="28">
                  <c:v>3078</c:v>
                </c:pt>
                <c:pt idx="29">
                  <c:v>3262</c:v>
                </c:pt>
                <c:pt idx="30">
                  <c:v>3264</c:v>
                </c:pt>
                <c:pt idx="31">
                  <c:v>3279.5</c:v>
                </c:pt>
                <c:pt idx="32">
                  <c:v>3313.5</c:v>
                </c:pt>
                <c:pt idx="33">
                  <c:v>3526</c:v>
                </c:pt>
                <c:pt idx="34">
                  <c:v>7230</c:v>
                </c:pt>
                <c:pt idx="35">
                  <c:v>7395</c:v>
                </c:pt>
                <c:pt idx="36">
                  <c:v>7605</c:v>
                </c:pt>
                <c:pt idx="37">
                  <c:v>13275.5</c:v>
                </c:pt>
                <c:pt idx="38">
                  <c:v>14817.5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  <c:pt idx="3">
                  <c:v>-4.5531899995694403E-2</c:v>
                </c:pt>
                <c:pt idx="11">
                  <c:v>1.9090199995844159E-2</c:v>
                </c:pt>
                <c:pt idx="13">
                  <c:v>1.3380600001255516E-2</c:v>
                </c:pt>
                <c:pt idx="16">
                  <c:v>-1.4808399995672517E-2</c:v>
                </c:pt>
                <c:pt idx="25">
                  <c:v>-2.7802000040537678E-3</c:v>
                </c:pt>
                <c:pt idx="26">
                  <c:v>-1.3500000204658136E-4</c:v>
                </c:pt>
                <c:pt idx="29">
                  <c:v>-3.6788000070373528E-3</c:v>
                </c:pt>
                <c:pt idx="32">
                  <c:v>-7.5649000064004213E-3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B9-4934-958C-9CA4BE4EB1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  <c:pt idx="37">
                    <c:v>2.0000000000000001E-4</c:v>
                  </c:pt>
                  <c:pt idx="38">
                    <c:v>1.5E-3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  <c:pt idx="37">
                    <c:v>2.0000000000000001E-4</c:v>
                  </c:pt>
                  <c:pt idx="3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-353</c:v>
                </c:pt>
                <c:pt idx="2">
                  <c:v>-136.5</c:v>
                </c:pt>
                <c:pt idx="3">
                  <c:v>18.5</c:v>
                </c:pt>
                <c:pt idx="4">
                  <c:v>218.5</c:v>
                </c:pt>
                <c:pt idx="5">
                  <c:v>348.5</c:v>
                </c:pt>
                <c:pt idx="6">
                  <c:v>357</c:v>
                </c:pt>
                <c:pt idx="7">
                  <c:v>604</c:v>
                </c:pt>
                <c:pt idx="8">
                  <c:v>649.5</c:v>
                </c:pt>
                <c:pt idx="9">
                  <c:v>894.5</c:v>
                </c:pt>
                <c:pt idx="10">
                  <c:v>957</c:v>
                </c:pt>
                <c:pt idx="11">
                  <c:v>1327</c:v>
                </c:pt>
                <c:pt idx="12">
                  <c:v>1327.5</c:v>
                </c:pt>
                <c:pt idx="13">
                  <c:v>1331</c:v>
                </c:pt>
                <c:pt idx="14">
                  <c:v>1427.5</c:v>
                </c:pt>
                <c:pt idx="15">
                  <c:v>1559.5</c:v>
                </c:pt>
                <c:pt idx="16">
                  <c:v>1566</c:v>
                </c:pt>
                <c:pt idx="17">
                  <c:v>1761</c:v>
                </c:pt>
                <c:pt idx="18">
                  <c:v>2053</c:v>
                </c:pt>
                <c:pt idx="19">
                  <c:v>2068.5</c:v>
                </c:pt>
                <c:pt idx="20">
                  <c:v>2122.5</c:v>
                </c:pt>
                <c:pt idx="21">
                  <c:v>2246</c:v>
                </c:pt>
                <c:pt idx="22">
                  <c:v>2285</c:v>
                </c:pt>
                <c:pt idx="23">
                  <c:v>2523.5</c:v>
                </c:pt>
                <c:pt idx="24">
                  <c:v>2794</c:v>
                </c:pt>
                <c:pt idx="25">
                  <c:v>3023</c:v>
                </c:pt>
                <c:pt idx="26">
                  <c:v>3025</c:v>
                </c:pt>
                <c:pt idx="27">
                  <c:v>3025.5</c:v>
                </c:pt>
                <c:pt idx="28">
                  <c:v>3078</c:v>
                </c:pt>
                <c:pt idx="29">
                  <c:v>3262</c:v>
                </c:pt>
                <c:pt idx="30">
                  <c:v>3264</c:v>
                </c:pt>
                <c:pt idx="31">
                  <c:v>3279.5</c:v>
                </c:pt>
                <c:pt idx="32">
                  <c:v>3313.5</c:v>
                </c:pt>
                <c:pt idx="33">
                  <c:v>3526</c:v>
                </c:pt>
                <c:pt idx="34">
                  <c:v>7230</c:v>
                </c:pt>
                <c:pt idx="35">
                  <c:v>7395</c:v>
                </c:pt>
                <c:pt idx="36">
                  <c:v>7605</c:v>
                </c:pt>
                <c:pt idx="37">
                  <c:v>13275.5</c:v>
                </c:pt>
                <c:pt idx="38">
                  <c:v>14817.5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-0.34787779999896884</c:v>
                </c:pt>
                <c:pt idx="2">
                  <c:v>-0.16853489999630256</c:v>
                </c:pt>
                <c:pt idx="4">
                  <c:v>3.6988100000598934E-2</c:v>
                </c:pt>
                <c:pt idx="5">
                  <c:v>0.12392610000097193</c:v>
                </c:pt>
                <c:pt idx="6">
                  <c:v>0.32716819999768632</c:v>
                </c:pt>
                <c:pt idx="7">
                  <c:v>0.33385039999848232</c:v>
                </c:pt>
                <c:pt idx="8">
                  <c:v>0.20902869999554241</c:v>
                </c:pt>
                <c:pt idx="9">
                  <c:v>-1.0934300000371877E-2</c:v>
                </c:pt>
                <c:pt idx="10">
                  <c:v>0.32572819999768399</c:v>
                </c:pt>
                <c:pt idx="12">
                  <c:v>0.25375150000036228</c:v>
                </c:pt>
                <c:pt idx="14">
                  <c:v>-0.32598850000067614</c:v>
                </c:pt>
                <c:pt idx="15">
                  <c:v>-9.4405299998470582E-2</c:v>
                </c:pt>
                <c:pt idx="17">
                  <c:v>-0.26590140000189422</c:v>
                </c:pt>
                <c:pt idx="18">
                  <c:v>0.36529780000273604</c:v>
                </c:pt>
                <c:pt idx="19">
                  <c:v>-9.2201900006330106E-2</c:v>
                </c:pt>
                <c:pt idx="20">
                  <c:v>-1.6781500002252869E-2</c:v>
                </c:pt>
                <c:pt idx="21">
                  <c:v>0.11255959999834886</c:v>
                </c:pt>
                <c:pt idx="22">
                  <c:v>3.1140999999479391E-2</c:v>
                </c:pt>
                <c:pt idx="23">
                  <c:v>-0.24241890000121202</c:v>
                </c:pt>
                <c:pt idx="24">
                  <c:v>-3.9655600005062297E-2</c:v>
                </c:pt>
                <c:pt idx="27">
                  <c:v>0.36852630000066711</c:v>
                </c:pt>
                <c:pt idx="28">
                  <c:v>-0.31803720000607427</c:v>
                </c:pt>
                <c:pt idx="30">
                  <c:v>0.11896639999758918</c:v>
                </c:pt>
                <c:pt idx="31">
                  <c:v>-0.37353330000041751</c:v>
                </c:pt>
                <c:pt idx="33">
                  <c:v>0.16548759999568574</c:v>
                </c:pt>
                <c:pt idx="34">
                  <c:v>-3.9601999997103121E-2</c:v>
                </c:pt>
                <c:pt idx="35">
                  <c:v>-6.2373000000661705E-2</c:v>
                </c:pt>
                <c:pt idx="36">
                  <c:v>-7.8627000002597924E-2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B9-4934-958C-9CA4BE4EB1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-353</c:v>
                </c:pt>
                <c:pt idx="2">
                  <c:v>-136.5</c:v>
                </c:pt>
                <c:pt idx="3">
                  <c:v>18.5</c:v>
                </c:pt>
                <c:pt idx="4">
                  <c:v>218.5</c:v>
                </c:pt>
                <c:pt idx="5">
                  <c:v>348.5</c:v>
                </c:pt>
                <c:pt idx="6">
                  <c:v>357</c:v>
                </c:pt>
                <c:pt idx="7">
                  <c:v>604</c:v>
                </c:pt>
                <c:pt idx="8">
                  <c:v>649.5</c:v>
                </c:pt>
                <c:pt idx="9">
                  <c:v>894.5</c:v>
                </c:pt>
                <c:pt idx="10">
                  <c:v>957</c:v>
                </c:pt>
                <c:pt idx="11">
                  <c:v>1327</c:v>
                </c:pt>
                <c:pt idx="12">
                  <c:v>1327.5</c:v>
                </c:pt>
                <c:pt idx="13">
                  <c:v>1331</c:v>
                </c:pt>
                <c:pt idx="14">
                  <c:v>1427.5</c:v>
                </c:pt>
                <c:pt idx="15">
                  <c:v>1559.5</c:v>
                </c:pt>
                <c:pt idx="16">
                  <c:v>1566</c:v>
                </c:pt>
                <c:pt idx="17">
                  <c:v>1761</c:v>
                </c:pt>
                <c:pt idx="18">
                  <c:v>2053</c:v>
                </c:pt>
                <c:pt idx="19">
                  <c:v>2068.5</c:v>
                </c:pt>
                <c:pt idx="20">
                  <c:v>2122.5</c:v>
                </c:pt>
                <c:pt idx="21">
                  <c:v>2246</c:v>
                </c:pt>
                <c:pt idx="22">
                  <c:v>2285</c:v>
                </c:pt>
                <c:pt idx="23">
                  <c:v>2523.5</c:v>
                </c:pt>
                <c:pt idx="24">
                  <c:v>2794</c:v>
                </c:pt>
                <c:pt idx="25">
                  <c:v>3023</c:v>
                </c:pt>
                <c:pt idx="26">
                  <c:v>3025</c:v>
                </c:pt>
                <c:pt idx="27">
                  <c:v>3025.5</c:v>
                </c:pt>
                <c:pt idx="28">
                  <c:v>3078</c:v>
                </c:pt>
                <c:pt idx="29">
                  <c:v>3262</c:v>
                </c:pt>
                <c:pt idx="30">
                  <c:v>3264</c:v>
                </c:pt>
                <c:pt idx="31">
                  <c:v>3279.5</c:v>
                </c:pt>
                <c:pt idx="32">
                  <c:v>3313.5</c:v>
                </c:pt>
                <c:pt idx="33">
                  <c:v>3526</c:v>
                </c:pt>
                <c:pt idx="34">
                  <c:v>7230</c:v>
                </c:pt>
                <c:pt idx="35">
                  <c:v>7395</c:v>
                </c:pt>
                <c:pt idx="36">
                  <c:v>7605</c:v>
                </c:pt>
                <c:pt idx="37">
                  <c:v>13275.5</c:v>
                </c:pt>
                <c:pt idx="38">
                  <c:v>14817.5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B9-4934-958C-9CA4BE4EB1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  <c:pt idx="37">
                    <c:v>2.0000000000000001E-4</c:v>
                  </c:pt>
                  <c:pt idx="3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  <c:pt idx="37">
                    <c:v>2.0000000000000001E-4</c:v>
                  </c:pt>
                  <c:pt idx="3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-353</c:v>
                </c:pt>
                <c:pt idx="2">
                  <c:v>-136.5</c:v>
                </c:pt>
                <c:pt idx="3">
                  <c:v>18.5</c:v>
                </c:pt>
                <c:pt idx="4">
                  <c:v>218.5</c:v>
                </c:pt>
                <c:pt idx="5">
                  <c:v>348.5</c:v>
                </c:pt>
                <c:pt idx="6">
                  <c:v>357</c:v>
                </c:pt>
                <c:pt idx="7">
                  <c:v>604</c:v>
                </c:pt>
                <c:pt idx="8">
                  <c:v>649.5</c:v>
                </c:pt>
                <c:pt idx="9">
                  <c:v>894.5</c:v>
                </c:pt>
                <c:pt idx="10">
                  <c:v>957</c:v>
                </c:pt>
                <c:pt idx="11">
                  <c:v>1327</c:v>
                </c:pt>
                <c:pt idx="12">
                  <c:v>1327.5</c:v>
                </c:pt>
                <c:pt idx="13">
                  <c:v>1331</c:v>
                </c:pt>
                <c:pt idx="14">
                  <c:v>1427.5</c:v>
                </c:pt>
                <c:pt idx="15">
                  <c:v>1559.5</c:v>
                </c:pt>
                <c:pt idx="16">
                  <c:v>1566</c:v>
                </c:pt>
                <c:pt idx="17">
                  <c:v>1761</c:v>
                </c:pt>
                <c:pt idx="18">
                  <c:v>2053</c:v>
                </c:pt>
                <c:pt idx="19">
                  <c:v>2068.5</c:v>
                </c:pt>
                <c:pt idx="20">
                  <c:v>2122.5</c:v>
                </c:pt>
                <c:pt idx="21">
                  <c:v>2246</c:v>
                </c:pt>
                <c:pt idx="22">
                  <c:v>2285</c:v>
                </c:pt>
                <c:pt idx="23">
                  <c:v>2523.5</c:v>
                </c:pt>
                <c:pt idx="24">
                  <c:v>2794</c:v>
                </c:pt>
                <c:pt idx="25">
                  <c:v>3023</c:v>
                </c:pt>
                <c:pt idx="26">
                  <c:v>3025</c:v>
                </c:pt>
                <c:pt idx="27">
                  <c:v>3025.5</c:v>
                </c:pt>
                <c:pt idx="28">
                  <c:v>3078</c:v>
                </c:pt>
                <c:pt idx="29">
                  <c:v>3262</c:v>
                </c:pt>
                <c:pt idx="30">
                  <c:v>3264</c:v>
                </c:pt>
                <c:pt idx="31">
                  <c:v>3279.5</c:v>
                </c:pt>
                <c:pt idx="32">
                  <c:v>3313.5</c:v>
                </c:pt>
                <c:pt idx="33">
                  <c:v>3526</c:v>
                </c:pt>
                <c:pt idx="34">
                  <c:v>7230</c:v>
                </c:pt>
                <c:pt idx="35">
                  <c:v>7395</c:v>
                </c:pt>
                <c:pt idx="36">
                  <c:v>7605</c:v>
                </c:pt>
                <c:pt idx="37">
                  <c:v>13275.5</c:v>
                </c:pt>
                <c:pt idx="38">
                  <c:v>14817.5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7">
                  <c:v>-0.10763370000495343</c:v>
                </c:pt>
                <c:pt idx="38">
                  <c:v>0.21182550000230549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B9-4934-958C-9CA4BE4EB1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  <c:pt idx="37">
                    <c:v>2.0000000000000001E-4</c:v>
                  </c:pt>
                  <c:pt idx="3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  <c:pt idx="37">
                    <c:v>2.0000000000000001E-4</c:v>
                  </c:pt>
                  <c:pt idx="3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-353</c:v>
                </c:pt>
                <c:pt idx="2">
                  <c:v>-136.5</c:v>
                </c:pt>
                <c:pt idx="3">
                  <c:v>18.5</c:v>
                </c:pt>
                <c:pt idx="4">
                  <c:v>218.5</c:v>
                </c:pt>
                <c:pt idx="5">
                  <c:v>348.5</c:v>
                </c:pt>
                <c:pt idx="6">
                  <c:v>357</c:v>
                </c:pt>
                <c:pt idx="7">
                  <c:v>604</c:v>
                </c:pt>
                <c:pt idx="8">
                  <c:v>649.5</c:v>
                </c:pt>
                <c:pt idx="9">
                  <c:v>894.5</c:v>
                </c:pt>
                <c:pt idx="10">
                  <c:v>957</c:v>
                </c:pt>
                <c:pt idx="11">
                  <c:v>1327</c:v>
                </c:pt>
                <c:pt idx="12">
                  <c:v>1327.5</c:v>
                </c:pt>
                <c:pt idx="13">
                  <c:v>1331</c:v>
                </c:pt>
                <c:pt idx="14">
                  <c:v>1427.5</c:v>
                </c:pt>
                <c:pt idx="15">
                  <c:v>1559.5</c:v>
                </c:pt>
                <c:pt idx="16">
                  <c:v>1566</c:v>
                </c:pt>
                <c:pt idx="17">
                  <c:v>1761</c:v>
                </c:pt>
                <c:pt idx="18">
                  <c:v>2053</c:v>
                </c:pt>
                <c:pt idx="19">
                  <c:v>2068.5</c:v>
                </c:pt>
                <c:pt idx="20">
                  <c:v>2122.5</c:v>
                </c:pt>
                <c:pt idx="21">
                  <c:v>2246</c:v>
                </c:pt>
                <c:pt idx="22">
                  <c:v>2285</c:v>
                </c:pt>
                <c:pt idx="23">
                  <c:v>2523.5</c:v>
                </c:pt>
                <c:pt idx="24">
                  <c:v>2794</c:v>
                </c:pt>
                <c:pt idx="25">
                  <c:v>3023</c:v>
                </c:pt>
                <c:pt idx="26">
                  <c:v>3025</c:v>
                </c:pt>
                <c:pt idx="27">
                  <c:v>3025.5</c:v>
                </c:pt>
                <c:pt idx="28">
                  <c:v>3078</c:v>
                </c:pt>
                <c:pt idx="29">
                  <c:v>3262</c:v>
                </c:pt>
                <c:pt idx="30">
                  <c:v>3264</c:v>
                </c:pt>
                <c:pt idx="31">
                  <c:v>3279.5</c:v>
                </c:pt>
                <c:pt idx="32">
                  <c:v>3313.5</c:v>
                </c:pt>
                <c:pt idx="33">
                  <c:v>3526</c:v>
                </c:pt>
                <c:pt idx="34">
                  <c:v>7230</c:v>
                </c:pt>
                <c:pt idx="35">
                  <c:v>7395</c:v>
                </c:pt>
                <c:pt idx="36">
                  <c:v>7605</c:v>
                </c:pt>
                <c:pt idx="37">
                  <c:v>13275.5</c:v>
                </c:pt>
                <c:pt idx="38">
                  <c:v>14817.5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B9-4934-958C-9CA4BE4EB1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  <c:pt idx="37">
                    <c:v>2.0000000000000001E-4</c:v>
                  </c:pt>
                  <c:pt idx="3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  <c:pt idx="37">
                    <c:v>2.0000000000000001E-4</c:v>
                  </c:pt>
                  <c:pt idx="3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-353</c:v>
                </c:pt>
                <c:pt idx="2">
                  <c:v>-136.5</c:v>
                </c:pt>
                <c:pt idx="3">
                  <c:v>18.5</c:v>
                </c:pt>
                <c:pt idx="4">
                  <c:v>218.5</c:v>
                </c:pt>
                <c:pt idx="5">
                  <c:v>348.5</c:v>
                </c:pt>
                <c:pt idx="6">
                  <c:v>357</c:v>
                </c:pt>
                <c:pt idx="7">
                  <c:v>604</c:v>
                </c:pt>
                <c:pt idx="8">
                  <c:v>649.5</c:v>
                </c:pt>
                <c:pt idx="9">
                  <c:v>894.5</c:v>
                </c:pt>
                <c:pt idx="10">
                  <c:v>957</c:v>
                </c:pt>
                <c:pt idx="11">
                  <c:v>1327</c:v>
                </c:pt>
                <c:pt idx="12">
                  <c:v>1327.5</c:v>
                </c:pt>
                <c:pt idx="13">
                  <c:v>1331</c:v>
                </c:pt>
                <c:pt idx="14">
                  <c:v>1427.5</c:v>
                </c:pt>
                <c:pt idx="15">
                  <c:v>1559.5</c:v>
                </c:pt>
                <c:pt idx="16">
                  <c:v>1566</c:v>
                </c:pt>
                <c:pt idx="17">
                  <c:v>1761</c:v>
                </c:pt>
                <c:pt idx="18">
                  <c:v>2053</c:v>
                </c:pt>
                <c:pt idx="19">
                  <c:v>2068.5</c:v>
                </c:pt>
                <c:pt idx="20">
                  <c:v>2122.5</c:v>
                </c:pt>
                <c:pt idx="21">
                  <c:v>2246</c:v>
                </c:pt>
                <c:pt idx="22">
                  <c:v>2285</c:v>
                </c:pt>
                <c:pt idx="23">
                  <c:v>2523.5</c:v>
                </c:pt>
                <c:pt idx="24">
                  <c:v>2794</c:v>
                </c:pt>
                <c:pt idx="25">
                  <c:v>3023</c:v>
                </c:pt>
                <c:pt idx="26">
                  <c:v>3025</c:v>
                </c:pt>
                <c:pt idx="27">
                  <c:v>3025.5</c:v>
                </c:pt>
                <c:pt idx="28">
                  <c:v>3078</c:v>
                </c:pt>
                <c:pt idx="29">
                  <c:v>3262</c:v>
                </c:pt>
                <c:pt idx="30">
                  <c:v>3264</c:v>
                </c:pt>
                <c:pt idx="31">
                  <c:v>3279.5</c:v>
                </c:pt>
                <c:pt idx="32">
                  <c:v>3313.5</c:v>
                </c:pt>
                <c:pt idx="33">
                  <c:v>3526</c:v>
                </c:pt>
                <c:pt idx="34">
                  <c:v>7230</c:v>
                </c:pt>
                <c:pt idx="35">
                  <c:v>7395</c:v>
                </c:pt>
                <c:pt idx="36">
                  <c:v>7605</c:v>
                </c:pt>
                <c:pt idx="37">
                  <c:v>13275.5</c:v>
                </c:pt>
                <c:pt idx="38">
                  <c:v>14817.5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B9-4934-958C-9CA4BE4EB1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  <c:pt idx="37">
                    <c:v>2.0000000000000001E-4</c:v>
                  </c:pt>
                  <c:pt idx="38">
                    <c:v>1.5E-3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  <c:pt idx="37">
                    <c:v>2.0000000000000001E-4</c:v>
                  </c:pt>
                  <c:pt idx="3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-353</c:v>
                </c:pt>
                <c:pt idx="2">
                  <c:v>-136.5</c:v>
                </c:pt>
                <c:pt idx="3">
                  <c:v>18.5</c:v>
                </c:pt>
                <c:pt idx="4">
                  <c:v>218.5</c:v>
                </c:pt>
                <c:pt idx="5">
                  <c:v>348.5</c:v>
                </c:pt>
                <c:pt idx="6">
                  <c:v>357</c:v>
                </c:pt>
                <c:pt idx="7">
                  <c:v>604</c:v>
                </c:pt>
                <c:pt idx="8">
                  <c:v>649.5</c:v>
                </c:pt>
                <c:pt idx="9">
                  <c:v>894.5</c:v>
                </c:pt>
                <c:pt idx="10">
                  <c:v>957</c:v>
                </c:pt>
                <c:pt idx="11">
                  <c:v>1327</c:v>
                </c:pt>
                <c:pt idx="12">
                  <c:v>1327.5</c:v>
                </c:pt>
                <c:pt idx="13">
                  <c:v>1331</c:v>
                </c:pt>
                <c:pt idx="14">
                  <c:v>1427.5</c:v>
                </c:pt>
                <c:pt idx="15">
                  <c:v>1559.5</c:v>
                </c:pt>
                <c:pt idx="16">
                  <c:v>1566</c:v>
                </c:pt>
                <c:pt idx="17">
                  <c:v>1761</c:v>
                </c:pt>
                <c:pt idx="18">
                  <c:v>2053</c:v>
                </c:pt>
                <c:pt idx="19">
                  <c:v>2068.5</c:v>
                </c:pt>
                <c:pt idx="20">
                  <c:v>2122.5</c:v>
                </c:pt>
                <c:pt idx="21">
                  <c:v>2246</c:v>
                </c:pt>
                <c:pt idx="22">
                  <c:v>2285</c:v>
                </c:pt>
                <c:pt idx="23">
                  <c:v>2523.5</c:v>
                </c:pt>
                <c:pt idx="24">
                  <c:v>2794</c:v>
                </c:pt>
                <c:pt idx="25">
                  <c:v>3023</c:v>
                </c:pt>
                <c:pt idx="26">
                  <c:v>3025</c:v>
                </c:pt>
                <c:pt idx="27">
                  <c:v>3025.5</c:v>
                </c:pt>
                <c:pt idx="28">
                  <c:v>3078</c:v>
                </c:pt>
                <c:pt idx="29">
                  <c:v>3262</c:v>
                </c:pt>
                <c:pt idx="30">
                  <c:v>3264</c:v>
                </c:pt>
                <c:pt idx="31">
                  <c:v>3279.5</c:v>
                </c:pt>
                <c:pt idx="32">
                  <c:v>3313.5</c:v>
                </c:pt>
                <c:pt idx="33">
                  <c:v>3526</c:v>
                </c:pt>
                <c:pt idx="34">
                  <c:v>7230</c:v>
                </c:pt>
                <c:pt idx="35">
                  <c:v>7395</c:v>
                </c:pt>
                <c:pt idx="36">
                  <c:v>7605</c:v>
                </c:pt>
                <c:pt idx="37">
                  <c:v>13275.5</c:v>
                </c:pt>
                <c:pt idx="38">
                  <c:v>14817.5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B9-4934-958C-9CA4BE4EB1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-353</c:v>
                </c:pt>
                <c:pt idx="2">
                  <c:v>-136.5</c:v>
                </c:pt>
                <c:pt idx="3">
                  <c:v>18.5</c:v>
                </c:pt>
                <c:pt idx="4">
                  <c:v>218.5</c:v>
                </c:pt>
                <c:pt idx="5">
                  <c:v>348.5</c:v>
                </c:pt>
                <c:pt idx="6">
                  <c:v>357</c:v>
                </c:pt>
                <c:pt idx="7">
                  <c:v>604</c:v>
                </c:pt>
                <c:pt idx="8">
                  <c:v>649.5</c:v>
                </c:pt>
                <c:pt idx="9">
                  <c:v>894.5</c:v>
                </c:pt>
                <c:pt idx="10">
                  <c:v>957</c:v>
                </c:pt>
                <c:pt idx="11">
                  <c:v>1327</c:v>
                </c:pt>
                <c:pt idx="12">
                  <c:v>1327.5</c:v>
                </c:pt>
                <c:pt idx="13">
                  <c:v>1331</c:v>
                </c:pt>
                <c:pt idx="14">
                  <c:v>1427.5</c:v>
                </c:pt>
                <c:pt idx="15">
                  <c:v>1559.5</c:v>
                </c:pt>
                <c:pt idx="16">
                  <c:v>1566</c:v>
                </c:pt>
                <c:pt idx="17">
                  <c:v>1761</c:v>
                </c:pt>
                <c:pt idx="18">
                  <c:v>2053</c:v>
                </c:pt>
                <c:pt idx="19">
                  <c:v>2068.5</c:v>
                </c:pt>
                <c:pt idx="20">
                  <c:v>2122.5</c:v>
                </c:pt>
                <c:pt idx="21">
                  <c:v>2246</c:v>
                </c:pt>
                <c:pt idx="22">
                  <c:v>2285</c:v>
                </c:pt>
                <c:pt idx="23">
                  <c:v>2523.5</c:v>
                </c:pt>
                <c:pt idx="24">
                  <c:v>2794</c:v>
                </c:pt>
                <c:pt idx="25">
                  <c:v>3023</c:v>
                </c:pt>
                <c:pt idx="26">
                  <c:v>3025</c:v>
                </c:pt>
                <c:pt idx="27">
                  <c:v>3025.5</c:v>
                </c:pt>
                <c:pt idx="28">
                  <c:v>3078</c:v>
                </c:pt>
                <c:pt idx="29">
                  <c:v>3262</c:v>
                </c:pt>
                <c:pt idx="30">
                  <c:v>3264</c:v>
                </c:pt>
                <c:pt idx="31">
                  <c:v>3279.5</c:v>
                </c:pt>
                <c:pt idx="32">
                  <c:v>3313.5</c:v>
                </c:pt>
                <c:pt idx="33">
                  <c:v>3526</c:v>
                </c:pt>
                <c:pt idx="34">
                  <c:v>7230</c:v>
                </c:pt>
                <c:pt idx="35">
                  <c:v>7395</c:v>
                </c:pt>
                <c:pt idx="36">
                  <c:v>7605</c:v>
                </c:pt>
                <c:pt idx="37">
                  <c:v>13275.5</c:v>
                </c:pt>
                <c:pt idx="38">
                  <c:v>14817.5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1.226006760878769E-2</c:v>
                </c:pt>
                <c:pt idx="1">
                  <c:v>1.2649841777436876E-2</c:v>
                </c:pt>
                <c:pt idx="2">
                  <c:v>1.2410787648506142E-2</c:v>
                </c:pt>
                <c:pt idx="3">
                  <c:v>1.223964035065735E-2</c:v>
                </c:pt>
                <c:pt idx="4">
                  <c:v>1.2018805127626649E-2</c:v>
                </c:pt>
                <c:pt idx="5">
                  <c:v>1.1875262232656695E-2</c:v>
                </c:pt>
                <c:pt idx="6">
                  <c:v>1.1865876735677889E-2</c:v>
                </c:pt>
                <c:pt idx="7">
                  <c:v>1.1593145235234975E-2</c:v>
                </c:pt>
                <c:pt idx="8">
                  <c:v>1.1542905221995491E-2</c:v>
                </c:pt>
                <c:pt idx="9">
                  <c:v>1.1272382073782884E-2</c:v>
                </c:pt>
                <c:pt idx="10">
                  <c:v>1.1203371066585789E-2</c:v>
                </c:pt>
                <c:pt idx="11">
                  <c:v>1.0794825903978993E-2</c:v>
                </c:pt>
                <c:pt idx="12">
                  <c:v>1.0794273815921417E-2</c:v>
                </c:pt>
                <c:pt idx="13">
                  <c:v>1.079040919951838E-2</c:v>
                </c:pt>
                <c:pt idx="14">
                  <c:v>1.0683856204406067E-2</c:v>
                </c:pt>
                <c:pt idx="15">
                  <c:v>1.0538104957205805E-2</c:v>
                </c:pt>
                <c:pt idx="16">
                  <c:v>1.0530927812457307E-2</c:v>
                </c:pt>
                <c:pt idx="17">
                  <c:v>1.0315613470002375E-2</c:v>
                </c:pt>
                <c:pt idx="18">
                  <c:v>9.9931940443775524E-3</c:v>
                </c:pt>
                <c:pt idx="19">
                  <c:v>9.9760793145926736E-3</c:v>
                </c:pt>
                <c:pt idx="20">
                  <c:v>9.9164538043743835E-3</c:v>
                </c:pt>
                <c:pt idx="21">
                  <c:v>9.7800880541529262E-3</c:v>
                </c:pt>
                <c:pt idx="22">
                  <c:v>9.7370251856619405E-3</c:v>
                </c:pt>
                <c:pt idx="23">
                  <c:v>9.4736791821978302E-3</c:v>
                </c:pt>
                <c:pt idx="24">
                  <c:v>9.174999543048807E-3</c:v>
                </c:pt>
                <c:pt idx="25">
                  <c:v>8.9221432126786564E-3</c:v>
                </c:pt>
                <c:pt idx="26">
                  <c:v>8.9199348604483489E-3</c:v>
                </c:pt>
                <c:pt idx="27">
                  <c:v>8.9193827723907729E-3</c:v>
                </c:pt>
                <c:pt idx="28">
                  <c:v>8.8614135263452142E-3</c:v>
                </c:pt>
                <c:pt idx="29">
                  <c:v>8.6582451211569701E-3</c:v>
                </c:pt>
                <c:pt idx="30">
                  <c:v>8.6560367689266626E-3</c:v>
                </c:pt>
                <c:pt idx="31">
                  <c:v>8.6389220391417838E-3</c:v>
                </c:pt>
                <c:pt idx="32">
                  <c:v>8.6013800512265634E-3</c:v>
                </c:pt>
                <c:pt idx="33">
                  <c:v>8.3667426267564453E-3</c:v>
                </c:pt>
                <c:pt idx="34">
                  <c:v>4.2768742962278773E-3</c:v>
                </c:pt>
                <c:pt idx="35">
                  <c:v>4.0946852372275491E-3</c:v>
                </c:pt>
                <c:pt idx="36">
                  <c:v>3.8628082530453144E-3</c:v>
                </c:pt>
                <c:pt idx="37">
                  <c:v>-2.3984224079326138E-3</c:v>
                </c:pt>
                <c:pt idx="38">
                  <c:v>-4.1010619774993103E-3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B9-4934-958C-9CA4BE4EB1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-353</c:v>
                </c:pt>
                <c:pt idx="2">
                  <c:v>-136.5</c:v>
                </c:pt>
                <c:pt idx="3">
                  <c:v>18.5</c:v>
                </c:pt>
                <c:pt idx="4">
                  <c:v>218.5</c:v>
                </c:pt>
                <c:pt idx="5">
                  <c:v>348.5</c:v>
                </c:pt>
                <c:pt idx="6">
                  <c:v>357</c:v>
                </c:pt>
                <c:pt idx="7">
                  <c:v>604</c:v>
                </c:pt>
                <c:pt idx="8">
                  <c:v>649.5</c:v>
                </c:pt>
                <c:pt idx="9">
                  <c:v>894.5</c:v>
                </c:pt>
                <c:pt idx="10">
                  <c:v>957</c:v>
                </c:pt>
                <c:pt idx="11">
                  <c:v>1327</c:v>
                </c:pt>
                <c:pt idx="12">
                  <c:v>1327.5</c:v>
                </c:pt>
                <c:pt idx="13">
                  <c:v>1331</c:v>
                </c:pt>
                <c:pt idx="14">
                  <c:v>1427.5</c:v>
                </c:pt>
                <c:pt idx="15">
                  <c:v>1559.5</c:v>
                </c:pt>
                <c:pt idx="16">
                  <c:v>1566</c:v>
                </c:pt>
                <c:pt idx="17">
                  <c:v>1761</c:v>
                </c:pt>
                <c:pt idx="18">
                  <c:v>2053</c:v>
                </c:pt>
                <c:pt idx="19">
                  <c:v>2068.5</c:v>
                </c:pt>
                <c:pt idx="20">
                  <c:v>2122.5</c:v>
                </c:pt>
                <c:pt idx="21">
                  <c:v>2246</c:v>
                </c:pt>
                <c:pt idx="22">
                  <c:v>2285</c:v>
                </c:pt>
                <c:pt idx="23">
                  <c:v>2523.5</c:v>
                </c:pt>
                <c:pt idx="24">
                  <c:v>2794</c:v>
                </c:pt>
                <c:pt idx="25">
                  <c:v>3023</c:v>
                </c:pt>
                <c:pt idx="26">
                  <c:v>3025</c:v>
                </c:pt>
                <c:pt idx="27">
                  <c:v>3025.5</c:v>
                </c:pt>
                <c:pt idx="28">
                  <c:v>3078</c:v>
                </c:pt>
                <c:pt idx="29">
                  <c:v>3262</c:v>
                </c:pt>
                <c:pt idx="30">
                  <c:v>3264</c:v>
                </c:pt>
                <c:pt idx="31">
                  <c:v>3279.5</c:v>
                </c:pt>
                <c:pt idx="32">
                  <c:v>3313.5</c:v>
                </c:pt>
                <c:pt idx="33">
                  <c:v>3526</c:v>
                </c:pt>
                <c:pt idx="34">
                  <c:v>7230</c:v>
                </c:pt>
                <c:pt idx="35">
                  <c:v>7395</c:v>
                </c:pt>
                <c:pt idx="36">
                  <c:v>7605</c:v>
                </c:pt>
                <c:pt idx="37">
                  <c:v>13275.5</c:v>
                </c:pt>
                <c:pt idx="38">
                  <c:v>14817.5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B9-4934-958C-9CA4BE4E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955096"/>
        <c:axId val="1"/>
      </c:scatterChart>
      <c:valAx>
        <c:axId val="79895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8015685259078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27354260089683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8955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85681610426499"/>
          <c:y val="0.91874999999999996"/>
          <c:w val="0.7189846560659738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200025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067CDD-47FC-1E8B-47E0-70ACE5DA9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1115" TargetMode="External"/><Relationship Id="rId3" Type="http://schemas.openxmlformats.org/officeDocument/2006/relationships/hyperlink" Target="http://www.konkoly.hu/cgi-bin/IBVS?1115" TargetMode="External"/><Relationship Id="rId7" Type="http://schemas.openxmlformats.org/officeDocument/2006/relationships/hyperlink" Target="http://www.konkoly.hu/cgi-bin/IBVS?1115" TargetMode="External"/><Relationship Id="rId2" Type="http://schemas.openxmlformats.org/officeDocument/2006/relationships/hyperlink" Target="http://www.konkoly.hu/cgi-bin/IBVS?1115" TargetMode="External"/><Relationship Id="rId1" Type="http://schemas.openxmlformats.org/officeDocument/2006/relationships/hyperlink" Target="http://www.konkoly.hu/cgi-bin/IBVS?1115" TargetMode="External"/><Relationship Id="rId6" Type="http://schemas.openxmlformats.org/officeDocument/2006/relationships/hyperlink" Target="http://www.konkoly.hu/cgi-bin/IBVS?1115" TargetMode="External"/><Relationship Id="rId5" Type="http://schemas.openxmlformats.org/officeDocument/2006/relationships/hyperlink" Target="http://www.konkoly.hu/cgi-bin/IBVS?1115" TargetMode="External"/><Relationship Id="rId4" Type="http://schemas.openxmlformats.org/officeDocument/2006/relationships/hyperlink" Target="http://www.konkoly.hu/cgi-bin/IBVS?1115" TargetMode="External"/><Relationship Id="rId9" Type="http://schemas.openxmlformats.org/officeDocument/2006/relationships/hyperlink" Target="http://www.konkoly.hu/cgi-bin/IBVS?1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0</v>
      </c>
    </row>
    <row r="2" spans="1:6">
      <c r="A2" t="s">
        <v>26</v>
      </c>
      <c r="B2" s="16" t="s">
        <v>36</v>
      </c>
    </row>
    <row r="4" spans="1:6">
      <c r="A4" s="8" t="s">
        <v>1</v>
      </c>
      <c r="C4" s="3">
        <v>37017.434000000001</v>
      </c>
      <c r="D4" s="4">
        <v>1.5146774000000001</v>
      </c>
    </row>
    <row r="5" spans="1:6">
      <c r="A5" s="36" t="s">
        <v>169</v>
      </c>
      <c r="B5" s="18"/>
      <c r="C5" s="37">
        <v>-9.5</v>
      </c>
      <c r="D5" s="18" t="s">
        <v>170</v>
      </c>
    </row>
    <row r="6" spans="1:6">
      <c r="A6" s="8" t="s">
        <v>2</v>
      </c>
    </row>
    <row r="7" spans="1:6">
      <c r="A7" t="s">
        <v>3</v>
      </c>
      <c r="C7">
        <f>+C4</f>
        <v>37017.434000000001</v>
      </c>
    </row>
    <row r="8" spans="1:6">
      <c r="A8" t="s">
        <v>4</v>
      </c>
      <c r="C8">
        <f>+D4</f>
        <v>1.5146774000000001</v>
      </c>
    </row>
    <row r="9" spans="1:6">
      <c r="A9" s="38" t="s">
        <v>171</v>
      </c>
      <c r="B9" s="39">
        <v>21</v>
      </c>
      <c r="C9" s="38" t="str">
        <f>"F"&amp;B9</f>
        <v>F21</v>
      </c>
      <c r="D9" s="38" t="str">
        <f>"G"&amp;B9</f>
        <v>G21</v>
      </c>
    </row>
    <row r="10" spans="1:6" ht="13.5" thickBot="1">
      <c r="C10" s="7" t="s">
        <v>21</v>
      </c>
      <c r="D10" s="7" t="s">
        <v>22</v>
      </c>
    </row>
    <row r="11" spans="1:6">
      <c r="A11" t="s">
        <v>17</v>
      </c>
      <c r="C11" s="15">
        <f ca="1">INTERCEPT(INDIRECT(D9):G1005,INDIRECT(C9):$F1005)</f>
        <v>1.226006760878769E-2</v>
      </c>
      <c r="D11" s="6"/>
    </row>
    <row r="12" spans="1:6">
      <c r="A12" t="s">
        <v>18</v>
      </c>
      <c r="C12" s="15">
        <f ca="1">SLOPE(INDIRECT(D9):G1005,INDIRECT(C9):$F1005)</f>
        <v>-1.104176115153501E-6</v>
      </c>
      <c r="D12" s="6"/>
    </row>
    <row r="13" spans="1:6">
      <c r="A13" t="s">
        <v>20</v>
      </c>
      <c r="C13" s="6" t="s">
        <v>15</v>
      </c>
      <c r="D13" s="6"/>
    </row>
    <row r="14" spans="1:6">
      <c r="A14" t="s">
        <v>25</v>
      </c>
    </row>
    <row r="15" spans="1:6">
      <c r="A15" s="5" t="s">
        <v>19</v>
      </c>
      <c r="C15" s="13">
        <f ca="1">(C7+C11)+(C8+C12)*INT(MAX(F21:F3533))</f>
        <v>59460.404935290113</v>
      </c>
      <c r="E15" s="40" t="s">
        <v>172</v>
      </c>
      <c r="F15" s="37">
        <v>1</v>
      </c>
    </row>
    <row r="16" spans="1:6">
      <c r="A16" s="8" t="s">
        <v>5</v>
      </c>
      <c r="C16" s="14">
        <f ca="1">+C8+C12</f>
        <v>1.5146762958238849</v>
      </c>
      <c r="E16" s="40" t="s">
        <v>173</v>
      </c>
      <c r="F16" s="41">
        <f ca="1">NOW()+15018.5+$C$5/24</f>
        <v>60332.700265277774</v>
      </c>
    </row>
    <row r="17" spans="1:21" ht="13.5" thickBot="1">
      <c r="A17" s="15" t="s">
        <v>35</v>
      </c>
      <c r="C17">
        <f>COUNT(C21:C2191)</f>
        <v>39</v>
      </c>
      <c r="E17" s="40" t="s">
        <v>174</v>
      </c>
      <c r="F17" s="41">
        <f ca="1">ROUND(2*(F16-$C$7)/$C$8,0)/2+F15</f>
        <v>15394</v>
      </c>
    </row>
    <row r="18" spans="1:21">
      <c r="A18" s="8" t="s">
        <v>6</v>
      </c>
      <c r="C18" s="3">
        <f ca="1">+C15</f>
        <v>59460.404935290113</v>
      </c>
      <c r="D18" s="4">
        <f ca="1">+C16</f>
        <v>1.5146762958238849</v>
      </c>
      <c r="E18" s="40" t="s">
        <v>175</v>
      </c>
      <c r="F18" s="11">
        <f ca="1">ROUND(2*(F16-$C$15)/$C$16,0)/2+F15</f>
        <v>577</v>
      </c>
    </row>
    <row r="19" spans="1:21" ht="13.5" thickTop="1">
      <c r="E19" s="40" t="s">
        <v>176</v>
      </c>
      <c r="F19" s="42">
        <f ca="1">+$C$15+$C$16*F18-15018.5-$C$5/24</f>
        <v>45316.268991313831</v>
      </c>
    </row>
    <row r="20" spans="1:21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44</v>
      </c>
      <c r="I20" s="10" t="s">
        <v>47</v>
      </c>
      <c r="J20" s="10" t="s">
        <v>41</v>
      </c>
      <c r="K20" s="10" t="s">
        <v>39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  <c r="U20" s="43" t="s">
        <v>177</v>
      </c>
    </row>
    <row r="21" spans="1:21">
      <c r="A21" t="s">
        <v>13</v>
      </c>
      <c r="C21" s="19">
        <v>37017.434000000001</v>
      </c>
      <c r="D21" s="19" t="s">
        <v>15</v>
      </c>
      <c r="E21">
        <f t="shared" ref="E21:E57" si="0">+(C21-C$7)/C$8</f>
        <v>0</v>
      </c>
      <c r="F21">
        <f t="shared" ref="F21:F58" si="1">ROUND(2*E21,0)/2</f>
        <v>0</v>
      </c>
      <c r="G21">
        <f t="shared" ref="G21:G57" si="2">+C21-(C$7+F21*C$8)</f>
        <v>0</v>
      </c>
      <c r="H21" s="12">
        <f>G21</f>
        <v>0</v>
      </c>
      <c r="O21">
        <f t="shared" ref="O21:O57" ca="1" si="3">+C$11+C$12*F21</f>
        <v>1.226006760878769E-2</v>
      </c>
      <c r="Q21" s="2">
        <f t="shared" ref="Q21:Q57" si="4">+C21-15018.5</f>
        <v>21998.934000000001</v>
      </c>
    </row>
    <row r="22" spans="1:21">
      <c r="A22" s="33" t="s">
        <v>54</v>
      </c>
      <c r="B22" s="35" t="s">
        <v>167</v>
      </c>
      <c r="C22" s="34">
        <v>36482.404999999999</v>
      </c>
      <c r="D22" s="33" t="s">
        <v>47</v>
      </c>
      <c r="E22">
        <f t="shared" si="0"/>
        <v>-353.22967121579967</v>
      </c>
      <c r="F22">
        <f t="shared" si="1"/>
        <v>-353</v>
      </c>
      <c r="G22">
        <f t="shared" si="2"/>
        <v>-0.34787779999896884</v>
      </c>
      <c r="I22">
        <f>+G22</f>
        <v>-0.34787779999896884</v>
      </c>
      <c r="O22">
        <f t="shared" ca="1" si="3"/>
        <v>1.2649841777436876E-2</v>
      </c>
      <c r="Q22" s="2">
        <f t="shared" si="4"/>
        <v>21463.904999999999</v>
      </c>
    </row>
    <row r="23" spans="1:21">
      <c r="A23" s="33" t="s">
        <v>54</v>
      </c>
      <c r="B23" s="35" t="s">
        <v>168</v>
      </c>
      <c r="C23" s="33">
        <v>36810.512000000002</v>
      </c>
      <c r="D23" s="33" t="s">
        <v>47</v>
      </c>
      <c r="E23">
        <f t="shared" si="0"/>
        <v>-136.61126785149014</v>
      </c>
      <c r="F23">
        <f t="shared" si="1"/>
        <v>-136.5</v>
      </c>
      <c r="G23">
        <f t="shared" si="2"/>
        <v>-0.16853489999630256</v>
      </c>
      <c r="I23">
        <f>+G23</f>
        <v>-0.16853489999630256</v>
      </c>
      <c r="O23">
        <f t="shared" ca="1" si="3"/>
        <v>1.2410787648506142E-2</v>
      </c>
      <c r="Q23" s="2">
        <f t="shared" si="4"/>
        <v>21792.012000000002</v>
      </c>
    </row>
    <row r="24" spans="1:21">
      <c r="A24" s="33" t="s">
        <v>178</v>
      </c>
      <c r="B24" s="35" t="s">
        <v>168</v>
      </c>
      <c r="C24" s="33">
        <v>37045.410000000003</v>
      </c>
      <c r="D24" s="33" t="s">
        <v>47</v>
      </c>
      <c r="E24">
        <f t="shared" si="0"/>
        <v>18.469939539602549</v>
      </c>
      <c r="F24">
        <f t="shared" si="1"/>
        <v>18.5</v>
      </c>
      <c r="G24">
        <f t="shared" si="2"/>
        <v>-4.5531899995694403E-2</v>
      </c>
      <c r="H24">
        <f>+G24</f>
        <v>-4.5531899995694403E-2</v>
      </c>
      <c r="O24">
        <f t="shared" ca="1" si="3"/>
        <v>1.223964035065735E-2</v>
      </c>
      <c r="Q24" s="2">
        <f t="shared" si="4"/>
        <v>22026.910000000003</v>
      </c>
    </row>
    <row r="25" spans="1:21">
      <c r="A25" s="33" t="s">
        <v>54</v>
      </c>
      <c r="B25" s="35" t="s">
        <v>168</v>
      </c>
      <c r="C25" s="33">
        <v>37348.428</v>
      </c>
      <c r="D25" s="33" t="s">
        <v>47</v>
      </c>
      <c r="E25">
        <f t="shared" si="0"/>
        <v>218.52441978734137</v>
      </c>
      <c r="F25">
        <f t="shared" si="1"/>
        <v>218.5</v>
      </c>
      <c r="G25">
        <f t="shared" si="2"/>
        <v>3.6988100000598934E-2</v>
      </c>
      <c r="I25">
        <f t="shared" ref="I25:I31" si="5">+G25</f>
        <v>3.6988100000598934E-2</v>
      </c>
      <c r="O25">
        <f t="shared" ca="1" si="3"/>
        <v>1.2018805127626649E-2</v>
      </c>
      <c r="Q25" s="2">
        <f t="shared" si="4"/>
        <v>22329.928</v>
      </c>
    </row>
    <row r="26" spans="1:21">
      <c r="A26" s="33" t="s">
        <v>54</v>
      </c>
      <c r="B26" s="35" t="s">
        <v>168</v>
      </c>
      <c r="C26" s="33">
        <v>37545.423000000003</v>
      </c>
      <c r="D26" s="33" t="s">
        <v>47</v>
      </c>
      <c r="E26">
        <f t="shared" si="0"/>
        <v>348.58181682779542</v>
      </c>
      <c r="F26">
        <f t="shared" si="1"/>
        <v>348.5</v>
      </c>
      <c r="G26">
        <f t="shared" si="2"/>
        <v>0.12392610000097193</v>
      </c>
      <c r="I26">
        <f t="shared" si="5"/>
        <v>0.12392610000097193</v>
      </c>
      <c r="O26">
        <f t="shared" ca="1" si="3"/>
        <v>1.1875262232656695E-2</v>
      </c>
      <c r="Q26" s="2">
        <f t="shared" si="4"/>
        <v>22526.923000000003</v>
      </c>
    </row>
    <row r="27" spans="1:21">
      <c r="A27" s="33" t="s">
        <v>54</v>
      </c>
      <c r="B27" s="35" t="s">
        <v>167</v>
      </c>
      <c r="C27" s="33">
        <v>37558.500999999997</v>
      </c>
      <c r="D27" s="33" t="s">
        <v>47</v>
      </c>
      <c r="E27">
        <f t="shared" si="0"/>
        <v>357.21599860141532</v>
      </c>
      <c r="F27">
        <f t="shared" si="1"/>
        <v>357</v>
      </c>
      <c r="G27">
        <f t="shared" si="2"/>
        <v>0.32716819999768632</v>
      </c>
      <c r="I27">
        <f t="shared" si="5"/>
        <v>0.32716819999768632</v>
      </c>
      <c r="O27">
        <f t="shared" ca="1" si="3"/>
        <v>1.1865876735677889E-2</v>
      </c>
      <c r="Q27" s="2">
        <f t="shared" si="4"/>
        <v>22540.000999999997</v>
      </c>
    </row>
    <row r="28" spans="1:21">
      <c r="A28" s="33" t="s">
        <v>54</v>
      </c>
      <c r="B28" s="35" t="s">
        <v>167</v>
      </c>
      <c r="C28" s="33">
        <v>37932.633000000002</v>
      </c>
      <c r="D28" s="33" t="s">
        <v>47</v>
      </c>
      <c r="E28">
        <f t="shared" si="0"/>
        <v>604.22041023388908</v>
      </c>
      <c r="F28">
        <f t="shared" si="1"/>
        <v>604</v>
      </c>
      <c r="G28">
        <f t="shared" si="2"/>
        <v>0.33385039999848232</v>
      </c>
      <c r="I28">
        <f t="shared" si="5"/>
        <v>0.33385039999848232</v>
      </c>
      <c r="O28">
        <f t="shared" ca="1" si="3"/>
        <v>1.1593145235234975E-2</v>
      </c>
      <c r="Q28" s="2">
        <f t="shared" si="4"/>
        <v>22914.133000000002</v>
      </c>
    </row>
    <row r="29" spans="1:21">
      <c r="A29" s="33" t="s">
        <v>54</v>
      </c>
      <c r="B29" s="35" t="s">
        <v>168</v>
      </c>
      <c r="C29" s="33">
        <v>38001.425999999999</v>
      </c>
      <c r="D29" s="33" t="s">
        <v>47</v>
      </c>
      <c r="E29">
        <f t="shared" si="0"/>
        <v>649.63800212507192</v>
      </c>
      <c r="F29">
        <f t="shared" si="1"/>
        <v>649.5</v>
      </c>
      <c r="G29">
        <f t="shared" si="2"/>
        <v>0.20902869999554241</v>
      </c>
      <c r="I29">
        <f t="shared" si="5"/>
        <v>0.20902869999554241</v>
      </c>
      <c r="O29">
        <f t="shared" ca="1" si="3"/>
        <v>1.1542905221995491E-2</v>
      </c>
      <c r="Q29" s="2">
        <f t="shared" si="4"/>
        <v>22982.925999999999</v>
      </c>
    </row>
    <row r="30" spans="1:21">
      <c r="A30" s="33" t="s">
        <v>54</v>
      </c>
      <c r="B30" s="35" t="s">
        <v>168</v>
      </c>
      <c r="C30" s="33">
        <v>38372.302000000003</v>
      </c>
      <c r="D30" s="33" t="s">
        <v>47</v>
      </c>
      <c r="E30">
        <f t="shared" si="0"/>
        <v>894.49278110309308</v>
      </c>
      <c r="F30">
        <f t="shared" si="1"/>
        <v>894.5</v>
      </c>
      <c r="G30">
        <f t="shared" si="2"/>
        <v>-1.0934300000371877E-2</v>
      </c>
      <c r="I30">
        <f t="shared" si="5"/>
        <v>-1.0934300000371877E-2</v>
      </c>
      <c r="O30">
        <f t="shared" ca="1" si="3"/>
        <v>1.1272382073782884E-2</v>
      </c>
      <c r="Q30" s="2">
        <f t="shared" si="4"/>
        <v>23353.802000000003</v>
      </c>
    </row>
    <row r="31" spans="1:21">
      <c r="A31" s="33" t="s">
        <v>54</v>
      </c>
      <c r="B31" s="35" t="s">
        <v>167</v>
      </c>
      <c r="C31" s="33">
        <v>38467.305999999997</v>
      </c>
      <c r="D31" s="33" t="s">
        <v>47</v>
      </c>
      <c r="E31">
        <f t="shared" si="0"/>
        <v>957.21504790392703</v>
      </c>
      <c r="F31">
        <f t="shared" si="1"/>
        <v>957</v>
      </c>
      <c r="G31">
        <f t="shared" si="2"/>
        <v>0.32572819999768399</v>
      </c>
      <c r="I31">
        <f t="shared" si="5"/>
        <v>0.32572819999768399</v>
      </c>
      <c r="O31">
        <f t="shared" ca="1" si="3"/>
        <v>1.1203371066585789E-2</v>
      </c>
      <c r="Q31" s="2">
        <f t="shared" si="4"/>
        <v>23448.805999999997</v>
      </c>
    </row>
    <row r="32" spans="1:21">
      <c r="A32" s="33" t="s">
        <v>178</v>
      </c>
      <c r="B32" s="35" t="s">
        <v>167</v>
      </c>
      <c r="C32" s="33">
        <v>39027.43</v>
      </c>
      <c r="D32" s="33" t="s">
        <v>47</v>
      </c>
      <c r="E32">
        <f t="shared" si="0"/>
        <v>1327.0126034758287</v>
      </c>
      <c r="F32">
        <f t="shared" si="1"/>
        <v>1327</v>
      </c>
      <c r="G32">
        <f t="shared" si="2"/>
        <v>1.9090199995844159E-2</v>
      </c>
      <c r="H32">
        <f>+G32</f>
        <v>1.9090199995844159E-2</v>
      </c>
      <c r="O32">
        <f t="shared" ca="1" si="3"/>
        <v>1.0794825903978993E-2</v>
      </c>
      <c r="Q32" s="2">
        <f t="shared" si="4"/>
        <v>24008.93</v>
      </c>
    </row>
    <row r="33" spans="1:17">
      <c r="A33" s="33" t="s">
        <v>54</v>
      </c>
      <c r="B33" s="35" t="s">
        <v>168</v>
      </c>
      <c r="C33" s="33">
        <v>39028.421999999999</v>
      </c>
      <c r="D33" s="33" t="s">
        <v>47</v>
      </c>
      <c r="E33">
        <f t="shared" si="0"/>
        <v>1327.6675284123189</v>
      </c>
      <c r="F33">
        <f t="shared" si="1"/>
        <v>1327.5</v>
      </c>
      <c r="G33">
        <f t="shared" si="2"/>
        <v>0.25375150000036228</v>
      </c>
      <c r="I33">
        <f>+G33</f>
        <v>0.25375150000036228</v>
      </c>
      <c r="O33">
        <f t="shared" ca="1" si="3"/>
        <v>1.0794273815921417E-2</v>
      </c>
      <c r="Q33" s="2">
        <f t="shared" si="4"/>
        <v>24009.921999999999</v>
      </c>
    </row>
    <row r="34" spans="1:17">
      <c r="A34" s="33" t="s">
        <v>178</v>
      </c>
      <c r="B34" s="35" t="s">
        <v>167</v>
      </c>
      <c r="C34" s="33">
        <v>39033.483</v>
      </c>
      <c r="D34" s="33" t="s">
        <v>47</v>
      </c>
      <c r="E34">
        <f t="shared" si="0"/>
        <v>1331.0088339602869</v>
      </c>
      <c r="F34">
        <f t="shared" si="1"/>
        <v>1331</v>
      </c>
      <c r="G34">
        <f t="shared" si="2"/>
        <v>1.3380600001255516E-2</v>
      </c>
      <c r="H34">
        <f>+G34</f>
        <v>1.3380600001255516E-2</v>
      </c>
      <c r="O34">
        <f t="shared" ca="1" si="3"/>
        <v>1.079040919951838E-2</v>
      </c>
      <c r="Q34" s="2">
        <f t="shared" si="4"/>
        <v>24014.983</v>
      </c>
    </row>
    <row r="35" spans="1:17">
      <c r="A35" s="33" t="s">
        <v>54</v>
      </c>
      <c r="B35" s="35" t="s">
        <v>167</v>
      </c>
      <c r="C35" s="33">
        <v>39179.31</v>
      </c>
      <c r="D35" s="33" t="s">
        <v>47</v>
      </c>
      <c r="E35">
        <f t="shared" si="0"/>
        <v>1427.2847802442925</v>
      </c>
      <c r="F35">
        <f t="shared" si="1"/>
        <v>1427.5</v>
      </c>
      <c r="G35">
        <f t="shared" si="2"/>
        <v>-0.32598850000067614</v>
      </c>
      <c r="I35">
        <f>+G35</f>
        <v>-0.32598850000067614</v>
      </c>
      <c r="O35">
        <f t="shared" ca="1" si="3"/>
        <v>1.0683856204406067E-2</v>
      </c>
      <c r="Q35" s="2">
        <f t="shared" si="4"/>
        <v>24160.809999999998</v>
      </c>
    </row>
    <row r="36" spans="1:17">
      <c r="A36" s="33" t="s">
        <v>54</v>
      </c>
      <c r="B36" s="35" t="s">
        <v>168</v>
      </c>
      <c r="C36" s="33">
        <v>39379.478999999999</v>
      </c>
      <c r="D36" s="33" t="s">
        <v>47</v>
      </c>
      <c r="E36">
        <f t="shared" si="0"/>
        <v>1559.4376729988828</v>
      </c>
      <c r="F36">
        <f t="shared" si="1"/>
        <v>1559.5</v>
      </c>
      <c r="G36">
        <f t="shared" si="2"/>
        <v>-9.4405299998470582E-2</v>
      </c>
      <c r="I36">
        <f>+G36</f>
        <v>-9.4405299998470582E-2</v>
      </c>
      <c r="O36">
        <f t="shared" ca="1" si="3"/>
        <v>1.0538104957205805E-2</v>
      </c>
      <c r="Q36" s="2">
        <f t="shared" si="4"/>
        <v>24360.978999999999</v>
      </c>
    </row>
    <row r="37" spans="1:17">
      <c r="A37" s="33" t="s">
        <v>178</v>
      </c>
      <c r="B37" s="35" t="s">
        <v>167</v>
      </c>
      <c r="C37" s="33">
        <v>39389.404000000002</v>
      </c>
      <c r="D37" s="33" t="s">
        <v>47</v>
      </c>
      <c r="E37">
        <f t="shared" si="0"/>
        <v>1565.990223396745</v>
      </c>
      <c r="F37">
        <f t="shared" si="1"/>
        <v>1566</v>
      </c>
      <c r="G37">
        <f t="shared" si="2"/>
        <v>-1.4808399995672517E-2</v>
      </c>
      <c r="H37">
        <f>+G37</f>
        <v>-1.4808399995672517E-2</v>
      </c>
      <c r="O37">
        <f t="shared" ca="1" si="3"/>
        <v>1.0530927812457307E-2</v>
      </c>
      <c r="Q37" s="2">
        <f t="shared" si="4"/>
        <v>24370.904000000002</v>
      </c>
    </row>
    <row r="38" spans="1:17">
      <c r="A38" s="33" t="s">
        <v>54</v>
      </c>
      <c r="B38" s="35" t="s">
        <v>167</v>
      </c>
      <c r="C38" s="33">
        <v>39684.514999999999</v>
      </c>
      <c r="D38" s="33" t="s">
        <v>47</v>
      </c>
      <c r="E38">
        <f t="shared" si="0"/>
        <v>1760.82445014364</v>
      </c>
      <c r="F38">
        <f t="shared" si="1"/>
        <v>1761</v>
      </c>
      <c r="G38">
        <f t="shared" si="2"/>
        <v>-0.26590140000189422</v>
      </c>
      <c r="I38">
        <f t="shared" ref="I38:I45" si="6">+G38</f>
        <v>-0.26590140000189422</v>
      </c>
      <c r="O38">
        <f t="shared" ca="1" si="3"/>
        <v>1.0315613470002375E-2</v>
      </c>
      <c r="Q38" s="2">
        <f t="shared" si="4"/>
        <v>24666.014999999999</v>
      </c>
    </row>
    <row r="39" spans="1:17">
      <c r="A39" s="33" t="s">
        <v>54</v>
      </c>
      <c r="B39" s="35" t="s">
        <v>168</v>
      </c>
      <c r="C39" s="33">
        <v>40127.432000000001</v>
      </c>
      <c r="D39" s="33" t="s">
        <v>47</v>
      </c>
      <c r="E39">
        <f t="shared" si="0"/>
        <v>2053.2411720145819</v>
      </c>
      <c r="F39">
        <f t="shared" si="1"/>
        <v>2053</v>
      </c>
      <c r="G39">
        <f t="shared" si="2"/>
        <v>0.36529780000273604</v>
      </c>
      <c r="I39">
        <f t="shared" si="6"/>
        <v>0.36529780000273604</v>
      </c>
      <c r="O39">
        <f t="shared" ca="1" si="3"/>
        <v>9.9931940443775524E-3</v>
      </c>
      <c r="Q39" s="2">
        <f t="shared" si="4"/>
        <v>25108.932000000001</v>
      </c>
    </row>
    <row r="40" spans="1:17">
      <c r="A40" s="33" t="s">
        <v>54</v>
      </c>
      <c r="B40" s="35" t="s">
        <v>168</v>
      </c>
      <c r="C40" s="33">
        <v>40150.451999999997</v>
      </c>
      <c r="D40" s="33" t="s">
        <v>47</v>
      </c>
      <c r="E40">
        <f t="shared" si="0"/>
        <v>2068.4391276980805</v>
      </c>
      <c r="F40">
        <f t="shared" si="1"/>
        <v>2068.5</v>
      </c>
      <c r="G40">
        <f t="shared" si="2"/>
        <v>-9.2201900006330106E-2</v>
      </c>
      <c r="I40">
        <f t="shared" si="6"/>
        <v>-9.2201900006330106E-2</v>
      </c>
      <c r="O40">
        <f t="shared" ca="1" si="3"/>
        <v>9.9760793145926736E-3</v>
      </c>
      <c r="Q40" s="2">
        <f t="shared" si="4"/>
        <v>25131.951999999997</v>
      </c>
    </row>
    <row r="41" spans="1:17">
      <c r="A41" s="33" t="s">
        <v>54</v>
      </c>
      <c r="B41" s="35" t="s">
        <v>168</v>
      </c>
      <c r="C41" s="33">
        <v>40232.32</v>
      </c>
      <c r="D41" s="33" t="s">
        <v>47</v>
      </c>
      <c r="E41">
        <f t="shared" si="0"/>
        <v>2122.4889207431224</v>
      </c>
      <c r="F41">
        <f t="shared" si="1"/>
        <v>2122.5</v>
      </c>
      <c r="G41">
        <f t="shared" si="2"/>
        <v>-1.6781500002252869E-2</v>
      </c>
      <c r="I41">
        <f t="shared" si="6"/>
        <v>-1.6781500002252869E-2</v>
      </c>
      <c r="O41">
        <f t="shared" ca="1" si="3"/>
        <v>9.9164538043743835E-3</v>
      </c>
      <c r="Q41" s="2">
        <f t="shared" si="4"/>
        <v>25213.82</v>
      </c>
    </row>
    <row r="42" spans="1:17">
      <c r="A42" s="33" t="s">
        <v>54</v>
      </c>
      <c r="B42" s="35" t="s">
        <v>167</v>
      </c>
      <c r="C42" s="33">
        <v>40419.512000000002</v>
      </c>
      <c r="D42" s="33" t="s">
        <v>47</v>
      </c>
      <c r="E42">
        <f t="shared" si="0"/>
        <v>2246.0743125895992</v>
      </c>
      <c r="F42">
        <f t="shared" si="1"/>
        <v>2246</v>
      </c>
      <c r="G42">
        <f t="shared" si="2"/>
        <v>0.11255959999834886</v>
      </c>
      <c r="I42">
        <f t="shared" si="6"/>
        <v>0.11255959999834886</v>
      </c>
      <c r="O42">
        <f t="shared" ca="1" si="3"/>
        <v>9.7800880541529262E-3</v>
      </c>
      <c r="Q42" s="2">
        <f t="shared" si="4"/>
        <v>25401.012000000002</v>
      </c>
    </row>
    <row r="43" spans="1:17">
      <c r="A43" s="33" t="s">
        <v>54</v>
      </c>
      <c r="B43" s="35" t="s">
        <v>167</v>
      </c>
      <c r="C43" s="33">
        <v>40478.502999999997</v>
      </c>
      <c r="D43" s="33" t="s">
        <v>47</v>
      </c>
      <c r="E43">
        <f t="shared" si="0"/>
        <v>2285.0205594933918</v>
      </c>
      <c r="F43">
        <f t="shared" si="1"/>
        <v>2285</v>
      </c>
      <c r="G43">
        <f t="shared" si="2"/>
        <v>3.1140999999479391E-2</v>
      </c>
      <c r="I43">
        <f t="shared" si="6"/>
        <v>3.1140999999479391E-2</v>
      </c>
      <c r="O43">
        <f t="shared" ca="1" si="3"/>
        <v>9.7370251856619405E-3</v>
      </c>
      <c r="Q43" s="2">
        <f t="shared" si="4"/>
        <v>25460.002999999997</v>
      </c>
    </row>
    <row r="44" spans="1:17">
      <c r="A44" s="33" t="s">
        <v>54</v>
      </c>
      <c r="B44" s="35" t="s">
        <v>168</v>
      </c>
      <c r="C44" s="33">
        <v>40839.480000000003</v>
      </c>
      <c r="D44" s="33" t="s">
        <v>47</v>
      </c>
      <c r="E44">
        <f t="shared" si="0"/>
        <v>2523.3399534448736</v>
      </c>
      <c r="F44">
        <f t="shared" si="1"/>
        <v>2523.5</v>
      </c>
      <c r="G44">
        <f t="shared" si="2"/>
        <v>-0.24241890000121202</v>
      </c>
      <c r="I44">
        <f t="shared" si="6"/>
        <v>-0.24241890000121202</v>
      </c>
      <c r="O44">
        <f t="shared" ca="1" si="3"/>
        <v>9.4736791821978302E-3</v>
      </c>
      <c r="Q44" s="2">
        <f t="shared" si="4"/>
        <v>25820.980000000003</v>
      </c>
    </row>
    <row r="45" spans="1:17">
      <c r="A45" s="33" t="s">
        <v>54</v>
      </c>
      <c r="B45" s="35" t="s">
        <v>167</v>
      </c>
      <c r="C45" s="33">
        <v>41249.402999999998</v>
      </c>
      <c r="D45" s="33" t="s">
        <v>47</v>
      </c>
      <c r="E45">
        <f t="shared" si="0"/>
        <v>2793.9738191115794</v>
      </c>
      <c r="F45">
        <f t="shared" si="1"/>
        <v>2794</v>
      </c>
      <c r="G45">
        <f t="shared" si="2"/>
        <v>-3.9655600005062297E-2</v>
      </c>
      <c r="I45">
        <f t="shared" si="6"/>
        <v>-3.9655600005062297E-2</v>
      </c>
      <c r="O45">
        <f t="shared" ca="1" si="3"/>
        <v>9.174999543048807E-3</v>
      </c>
      <c r="Q45" s="2">
        <f t="shared" si="4"/>
        <v>26230.902999999998</v>
      </c>
    </row>
    <row r="46" spans="1:17">
      <c r="A46" s="33" t="s">
        <v>178</v>
      </c>
      <c r="B46" s="35" t="s">
        <v>167</v>
      </c>
      <c r="C46" s="33">
        <v>41596.300999999999</v>
      </c>
      <c r="D46" s="33" t="s">
        <v>47</v>
      </c>
      <c r="E46">
        <f t="shared" si="0"/>
        <v>3022.9981644936397</v>
      </c>
      <c r="F46">
        <f t="shared" si="1"/>
        <v>3023</v>
      </c>
      <c r="G46">
        <f t="shared" si="2"/>
        <v>-2.7802000040537678E-3</v>
      </c>
      <c r="H46">
        <f>+G46</f>
        <v>-2.7802000040537678E-3</v>
      </c>
      <c r="O46">
        <f t="shared" ca="1" si="3"/>
        <v>8.9221432126786564E-3</v>
      </c>
      <c r="Q46" s="2">
        <f t="shared" si="4"/>
        <v>26577.800999999999</v>
      </c>
    </row>
    <row r="47" spans="1:17">
      <c r="A47" s="33" t="s">
        <v>178</v>
      </c>
      <c r="B47" s="35" t="s">
        <v>167</v>
      </c>
      <c r="C47" s="33">
        <v>41599.332999999999</v>
      </c>
      <c r="D47" s="33" t="s">
        <v>47</v>
      </c>
      <c r="E47">
        <f t="shared" si="0"/>
        <v>3024.9999108721086</v>
      </c>
      <c r="F47">
        <f t="shared" si="1"/>
        <v>3025</v>
      </c>
      <c r="G47">
        <f t="shared" si="2"/>
        <v>-1.3500000204658136E-4</v>
      </c>
      <c r="H47">
        <f>+G47</f>
        <v>-1.3500000204658136E-4</v>
      </c>
      <c r="O47">
        <f t="shared" ca="1" si="3"/>
        <v>8.9199348604483489E-3</v>
      </c>
      <c r="Q47" s="2">
        <f t="shared" si="4"/>
        <v>26580.832999999999</v>
      </c>
    </row>
    <row r="48" spans="1:17">
      <c r="A48" s="33" t="s">
        <v>54</v>
      </c>
      <c r="B48" s="35" t="s">
        <v>167</v>
      </c>
      <c r="C48" s="33">
        <v>41600.459000000003</v>
      </c>
      <c r="D48" s="33" t="s">
        <v>47</v>
      </c>
      <c r="E48">
        <f t="shared" si="0"/>
        <v>3025.7433034915562</v>
      </c>
      <c r="F48">
        <f t="shared" si="1"/>
        <v>3025.5</v>
      </c>
      <c r="G48">
        <f t="shared" si="2"/>
        <v>0.36852630000066711</v>
      </c>
      <c r="I48">
        <f>+G48</f>
        <v>0.36852630000066711</v>
      </c>
      <c r="O48">
        <f t="shared" ca="1" si="3"/>
        <v>8.9193827723907729E-3</v>
      </c>
      <c r="Q48" s="2">
        <f t="shared" si="4"/>
        <v>26581.959000000003</v>
      </c>
    </row>
    <row r="49" spans="1:31">
      <c r="A49" s="33" t="s">
        <v>54</v>
      </c>
      <c r="B49" s="35" t="s">
        <v>167</v>
      </c>
      <c r="C49" s="33">
        <v>41679.292999999998</v>
      </c>
      <c r="D49" s="33" t="s">
        <v>47</v>
      </c>
      <c r="E49">
        <f t="shared" si="0"/>
        <v>3077.7900297449455</v>
      </c>
      <c r="F49">
        <f t="shared" si="1"/>
        <v>3078</v>
      </c>
      <c r="G49">
        <f t="shared" si="2"/>
        <v>-0.31803720000607427</v>
      </c>
      <c r="I49">
        <f>+G49</f>
        <v>-0.31803720000607427</v>
      </c>
      <c r="O49">
        <f t="shared" ca="1" si="3"/>
        <v>8.8614135263452142E-3</v>
      </c>
      <c r="Q49" s="2">
        <f t="shared" si="4"/>
        <v>26660.792999999998</v>
      </c>
    </row>
    <row r="50" spans="1:31">
      <c r="A50" s="33" t="s">
        <v>178</v>
      </c>
      <c r="B50" s="35" t="s">
        <v>167</v>
      </c>
      <c r="C50" s="33">
        <v>41958.307999999997</v>
      </c>
      <c r="D50" s="33" t="s">
        <v>47</v>
      </c>
      <c r="E50">
        <f t="shared" si="0"/>
        <v>3261.997571231997</v>
      </c>
      <c r="F50">
        <f t="shared" si="1"/>
        <v>3262</v>
      </c>
      <c r="G50">
        <f t="shared" si="2"/>
        <v>-3.6788000070373528E-3</v>
      </c>
      <c r="H50">
        <f>+G50</f>
        <v>-3.6788000070373528E-3</v>
      </c>
      <c r="O50">
        <f t="shared" ca="1" si="3"/>
        <v>8.6582451211569701E-3</v>
      </c>
      <c r="Q50" s="2">
        <f t="shared" si="4"/>
        <v>26939.807999999997</v>
      </c>
    </row>
    <row r="51" spans="1:31">
      <c r="A51" s="33" t="s">
        <v>54</v>
      </c>
      <c r="B51" s="35" t="s">
        <v>167</v>
      </c>
      <c r="C51" s="33">
        <v>41961.46</v>
      </c>
      <c r="D51" s="33" t="s">
        <v>47</v>
      </c>
      <c r="E51">
        <f t="shared" si="0"/>
        <v>3264.0785424011724</v>
      </c>
      <c r="F51">
        <f t="shared" si="1"/>
        <v>3264</v>
      </c>
      <c r="G51">
        <f t="shared" si="2"/>
        <v>0.11896639999758918</v>
      </c>
      <c r="I51">
        <f>+G51</f>
        <v>0.11896639999758918</v>
      </c>
      <c r="O51">
        <f t="shared" ca="1" si="3"/>
        <v>8.6560367689266626E-3</v>
      </c>
      <c r="Q51" s="2">
        <f t="shared" si="4"/>
        <v>26942.959999999999</v>
      </c>
    </row>
    <row r="52" spans="1:31">
      <c r="A52" s="33" t="s">
        <v>54</v>
      </c>
      <c r="B52" s="35" t="s">
        <v>167</v>
      </c>
      <c r="C52" s="33">
        <v>41984.445</v>
      </c>
      <c r="D52" s="33" t="s">
        <v>47</v>
      </c>
      <c r="E52">
        <f t="shared" si="0"/>
        <v>3279.2533908540513</v>
      </c>
      <c r="F52">
        <f t="shared" si="1"/>
        <v>3279.5</v>
      </c>
      <c r="G52">
        <f t="shared" si="2"/>
        <v>-0.37353330000041751</v>
      </c>
      <c r="I52">
        <f>+G52</f>
        <v>-0.37353330000041751</v>
      </c>
      <c r="O52">
        <f t="shared" ca="1" si="3"/>
        <v>8.6389220391417838E-3</v>
      </c>
      <c r="Q52" s="2">
        <f t="shared" si="4"/>
        <v>26965.945</v>
      </c>
    </row>
    <row r="53" spans="1:31">
      <c r="A53" s="33" t="s">
        <v>178</v>
      </c>
      <c r="B53" s="35" t="s">
        <v>167</v>
      </c>
      <c r="C53" s="33">
        <v>42036.31</v>
      </c>
      <c r="D53" s="33" t="s">
        <v>47</v>
      </c>
      <c r="E53">
        <f t="shared" si="0"/>
        <v>3313.4950056031707</v>
      </c>
      <c r="F53">
        <f t="shared" si="1"/>
        <v>3313.5</v>
      </c>
      <c r="G53">
        <f t="shared" si="2"/>
        <v>-7.5649000064004213E-3</v>
      </c>
      <c r="H53">
        <f>+G53</f>
        <v>-7.5649000064004213E-3</v>
      </c>
      <c r="O53">
        <f t="shared" ca="1" si="3"/>
        <v>8.6013800512265634E-3</v>
      </c>
      <c r="Q53" s="2">
        <f t="shared" si="4"/>
        <v>27017.809999999998</v>
      </c>
    </row>
    <row r="54" spans="1:31">
      <c r="A54" s="33" t="s">
        <v>54</v>
      </c>
      <c r="B54" s="35" t="s">
        <v>167</v>
      </c>
      <c r="C54" s="33">
        <v>42358.351999999999</v>
      </c>
      <c r="D54" s="33" t="s">
        <v>47</v>
      </c>
      <c r="E54">
        <f t="shared" si="0"/>
        <v>3526.1092560039501</v>
      </c>
      <c r="F54">
        <f t="shared" si="1"/>
        <v>3526</v>
      </c>
      <c r="G54">
        <f t="shared" si="2"/>
        <v>0.16548759999568574</v>
      </c>
      <c r="I54">
        <f>+G54</f>
        <v>0.16548759999568574</v>
      </c>
      <c r="O54">
        <f t="shared" ca="1" si="3"/>
        <v>8.3667426267564453E-3</v>
      </c>
      <c r="Q54" s="2">
        <f t="shared" si="4"/>
        <v>27339.851999999999</v>
      </c>
    </row>
    <row r="55" spans="1:31">
      <c r="A55" t="s">
        <v>31</v>
      </c>
      <c r="C55" s="32">
        <v>47968.512000000002</v>
      </c>
      <c r="D55" s="19"/>
      <c r="E55">
        <f t="shared" si="0"/>
        <v>7229.9738544986549</v>
      </c>
      <c r="F55">
        <f t="shared" si="1"/>
        <v>7230</v>
      </c>
      <c r="G55">
        <f t="shared" si="2"/>
        <v>-3.9601999997103121E-2</v>
      </c>
      <c r="I55">
        <f>+G55</f>
        <v>-3.9601999997103121E-2</v>
      </c>
      <c r="O55">
        <f t="shared" ca="1" si="3"/>
        <v>4.2768742962278773E-3</v>
      </c>
      <c r="Q55" s="2">
        <f t="shared" si="4"/>
        <v>32950.012000000002</v>
      </c>
      <c r="AA55">
        <v>12</v>
      </c>
      <c r="AC55" t="s">
        <v>30</v>
      </c>
      <c r="AE55" t="s">
        <v>32</v>
      </c>
    </row>
    <row r="56" spans="1:31">
      <c r="A56" t="s">
        <v>33</v>
      </c>
      <c r="C56" s="32">
        <v>48218.411</v>
      </c>
      <c r="D56" s="19"/>
      <c r="E56">
        <f t="shared" si="0"/>
        <v>7394.9588209344101</v>
      </c>
      <c r="F56">
        <f t="shared" si="1"/>
        <v>7395</v>
      </c>
      <c r="G56">
        <f t="shared" si="2"/>
        <v>-6.2373000000661705E-2</v>
      </c>
      <c r="I56">
        <f>+G56</f>
        <v>-6.2373000000661705E-2</v>
      </c>
      <c r="O56">
        <f t="shared" ca="1" si="3"/>
        <v>4.0946852372275491E-3</v>
      </c>
      <c r="Q56" s="2">
        <f t="shared" si="4"/>
        <v>33199.911</v>
      </c>
      <c r="AA56">
        <v>15</v>
      </c>
      <c r="AC56" t="s">
        <v>30</v>
      </c>
      <c r="AE56" t="s">
        <v>32</v>
      </c>
    </row>
    <row r="57" spans="1:31">
      <c r="A57" t="s">
        <v>34</v>
      </c>
      <c r="C57" s="32">
        <v>48536.476999999999</v>
      </c>
      <c r="D57" s="19">
        <v>5.0000000000000001E-3</v>
      </c>
      <c r="E57">
        <f t="shared" si="0"/>
        <v>7604.9480899365089</v>
      </c>
      <c r="F57">
        <f t="shared" si="1"/>
        <v>7605</v>
      </c>
      <c r="G57">
        <f t="shared" si="2"/>
        <v>-7.8627000002597924E-2</v>
      </c>
      <c r="I57">
        <f>+G57</f>
        <v>-7.8627000002597924E-2</v>
      </c>
      <c r="O57">
        <f t="shared" ca="1" si="3"/>
        <v>3.8628082530453144E-3</v>
      </c>
      <c r="Q57" s="2">
        <f t="shared" si="4"/>
        <v>33517.976999999999</v>
      </c>
      <c r="AA57">
        <v>15</v>
      </c>
      <c r="AC57" t="s">
        <v>30</v>
      </c>
      <c r="AE57" t="s">
        <v>32</v>
      </c>
    </row>
    <row r="58" spans="1:31">
      <c r="A58" s="44" t="s">
        <v>179</v>
      </c>
      <c r="B58" s="45" t="s">
        <v>167</v>
      </c>
      <c r="C58" s="46">
        <v>57125.426189999998</v>
      </c>
      <c r="D58" s="46">
        <v>2.0000000000000001E-4</v>
      </c>
      <c r="E58">
        <f>+(C58-C$7)/C$8</f>
        <v>13275.428939522037</v>
      </c>
      <c r="F58">
        <f t="shared" si="1"/>
        <v>13275.5</v>
      </c>
      <c r="G58">
        <f>+C58-(C$7+F58*C$8)</f>
        <v>-0.10763370000495343</v>
      </c>
      <c r="K58">
        <f>+G58</f>
        <v>-0.10763370000495343</v>
      </c>
      <c r="O58">
        <f ca="1">+C$11+C$12*F58</f>
        <v>-2.3984224079326138E-3</v>
      </c>
      <c r="Q58" s="2">
        <f>+C58-15018.5</f>
        <v>42106.926189999998</v>
      </c>
    </row>
    <row r="59" spans="1:31">
      <c r="A59" s="47" t="s">
        <v>180</v>
      </c>
      <c r="B59" s="48" t="s">
        <v>167</v>
      </c>
      <c r="C59" s="49">
        <v>59461.378199999999</v>
      </c>
      <c r="D59" s="50">
        <v>1.5E-3</v>
      </c>
      <c r="E59">
        <f>+(C59-C$7)/C$8</f>
        <v>14817.639848590859</v>
      </c>
      <c r="F59">
        <f t="shared" ref="F59" si="7">ROUND(2*E59,0)/2</f>
        <v>14817.5</v>
      </c>
      <c r="G59">
        <f>+C59-(C$7+F59*C$8)</f>
        <v>0.21182550000230549</v>
      </c>
      <c r="K59">
        <f>+G59</f>
        <v>0.21182550000230549</v>
      </c>
      <c r="O59">
        <f ca="1">+C$11+C$12*F59</f>
        <v>-4.1010619774993103E-3</v>
      </c>
      <c r="Q59" s="2">
        <f>+C59-15018.5</f>
        <v>44442.878199999999</v>
      </c>
    </row>
    <row r="60" spans="1:31">
      <c r="B60" s="6"/>
      <c r="C60" s="19"/>
      <c r="D60" s="19"/>
    </row>
    <row r="61" spans="1:31">
      <c r="B61" s="6"/>
      <c r="C61" s="19"/>
      <c r="D61" s="19"/>
    </row>
    <row r="62" spans="1:31">
      <c r="B62" s="6"/>
      <c r="C62" s="19"/>
      <c r="D62" s="19"/>
    </row>
    <row r="63" spans="1:31">
      <c r="B63" s="6"/>
      <c r="C63" s="19"/>
      <c r="D63" s="19"/>
    </row>
    <row r="64" spans="1:31">
      <c r="B64" s="6"/>
      <c r="C64" s="19"/>
      <c r="D64" s="19"/>
    </row>
    <row r="65" spans="2:4">
      <c r="B65" s="6"/>
      <c r="C65" s="19"/>
      <c r="D65" s="19"/>
    </row>
    <row r="66" spans="2:4">
      <c r="B66" s="6"/>
      <c r="C66" s="19"/>
      <c r="D66" s="19"/>
    </row>
    <row r="67" spans="2:4">
      <c r="B67" s="6"/>
      <c r="C67" s="19"/>
      <c r="D67" s="19"/>
    </row>
    <row r="68" spans="2:4">
      <c r="B68" s="6"/>
      <c r="C68" s="19"/>
      <c r="D68" s="19"/>
    </row>
    <row r="69" spans="2:4">
      <c r="B69" s="6"/>
      <c r="C69" s="19"/>
      <c r="D69" s="19"/>
    </row>
    <row r="70" spans="2:4">
      <c r="B70" s="6"/>
      <c r="C70" s="19"/>
      <c r="D70" s="19"/>
    </row>
    <row r="71" spans="2:4">
      <c r="B71" s="6"/>
      <c r="C71" s="19"/>
      <c r="D71" s="19"/>
    </row>
    <row r="72" spans="2:4">
      <c r="B72" s="6"/>
      <c r="C72" s="19"/>
      <c r="D72" s="19"/>
    </row>
    <row r="73" spans="2:4">
      <c r="B73" s="6"/>
      <c r="C73" s="19"/>
      <c r="D73" s="19"/>
    </row>
    <row r="74" spans="2:4">
      <c r="B74" s="6"/>
      <c r="C74" s="19"/>
      <c r="D74" s="19"/>
    </row>
    <row r="75" spans="2:4">
      <c r="B75" s="6"/>
      <c r="C75" s="19"/>
      <c r="D75" s="19"/>
    </row>
    <row r="76" spans="2:4">
      <c r="B76" s="6"/>
      <c r="C76" s="19"/>
      <c r="D76" s="19"/>
    </row>
    <row r="77" spans="2:4">
      <c r="B77" s="6"/>
      <c r="C77" s="19"/>
      <c r="D77" s="19"/>
    </row>
    <row r="78" spans="2:4">
      <c r="B78" s="6"/>
      <c r="C78" s="19"/>
      <c r="D78" s="19"/>
    </row>
    <row r="79" spans="2:4">
      <c r="B79" s="6"/>
      <c r="C79" s="19"/>
      <c r="D79" s="19"/>
    </row>
    <row r="80" spans="2:4">
      <c r="B80" s="6"/>
      <c r="C80" s="19"/>
      <c r="D80" s="19"/>
    </row>
    <row r="81" spans="2:4">
      <c r="B81" s="6"/>
      <c r="C81" s="19"/>
      <c r="D81" s="19"/>
    </row>
    <row r="82" spans="2:4">
      <c r="B82" s="6"/>
      <c r="C82" s="19"/>
      <c r="D82" s="19"/>
    </row>
    <row r="83" spans="2:4">
      <c r="B83" s="6"/>
      <c r="C83" s="19"/>
      <c r="D83" s="19"/>
    </row>
    <row r="84" spans="2:4">
      <c r="B84" s="6"/>
      <c r="C84" s="19"/>
      <c r="D84" s="19"/>
    </row>
    <row r="85" spans="2:4">
      <c r="B85" s="6"/>
      <c r="C85" s="19"/>
      <c r="D85" s="19"/>
    </row>
    <row r="86" spans="2:4">
      <c r="B86" s="6"/>
      <c r="C86" s="19"/>
      <c r="D86" s="19"/>
    </row>
    <row r="87" spans="2:4">
      <c r="B87" s="6"/>
      <c r="C87" s="19"/>
      <c r="D87" s="19"/>
    </row>
    <row r="88" spans="2:4">
      <c r="B88" s="6"/>
      <c r="C88" s="19"/>
      <c r="D88" s="19"/>
    </row>
    <row r="89" spans="2:4">
      <c r="B89" s="6"/>
      <c r="C89" s="19"/>
      <c r="D89" s="19"/>
    </row>
    <row r="90" spans="2:4">
      <c r="B90" s="6"/>
      <c r="C90" s="19"/>
      <c r="D90" s="19"/>
    </row>
    <row r="91" spans="2:4">
      <c r="B91" s="6"/>
      <c r="C91" s="19"/>
      <c r="D91" s="19"/>
    </row>
    <row r="92" spans="2:4">
      <c r="B92" s="6"/>
      <c r="C92" s="19"/>
      <c r="D92" s="19"/>
    </row>
    <row r="93" spans="2:4">
      <c r="B93" s="6"/>
      <c r="C93" s="19"/>
      <c r="D93" s="19"/>
    </row>
    <row r="94" spans="2:4">
      <c r="B94" s="6"/>
      <c r="C94" s="19"/>
      <c r="D94" s="19"/>
    </row>
    <row r="95" spans="2:4">
      <c r="B95" s="6"/>
      <c r="C95" s="19"/>
      <c r="D95" s="19"/>
    </row>
    <row r="96" spans="2:4">
      <c r="B96" s="6"/>
      <c r="C96" s="19"/>
      <c r="D96" s="19"/>
    </row>
    <row r="97" spans="2:4">
      <c r="B97" s="6"/>
      <c r="C97" s="19"/>
      <c r="D97" s="19"/>
    </row>
    <row r="98" spans="2:4">
      <c r="B98" s="6"/>
      <c r="C98" s="19"/>
      <c r="D98" s="19"/>
    </row>
    <row r="99" spans="2:4">
      <c r="B99" s="6"/>
      <c r="C99" s="19"/>
      <c r="D99" s="19"/>
    </row>
    <row r="100" spans="2:4">
      <c r="B100" s="6"/>
      <c r="C100" s="19"/>
      <c r="D100" s="19"/>
    </row>
    <row r="101" spans="2:4">
      <c r="B101" s="6"/>
      <c r="C101" s="19"/>
      <c r="D101" s="19"/>
    </row>
    <row r="102" spans="2:4">
      <c r="B102" s="6"/>
      <c r="C102" s="19"/>
      <c r="D102" s="19"/>
    </row>
    <row r="103" spans="2:4">
      <c r="C103" s="19"/>
      <c r="D103" s="19"/>
    </row>
    <row r="104" spans="2:4">
      <c r="C104" s="19"/>
      <c r="D104" s="19"/>
    </row>
    <row r="105" spans="2:4">
      <c r="C105" s="19"/>
      <c r="D105" s="19"/>
    </row>
    <row r="106" spans="2:4">
      <c r="C106" s="19"/>
      <c r="D106" s="19"/>
    </row>
    <row r="107" spans="2:4">
      <c r="C107" s="19"/>
      <c r="D107" s="19"/>
    </row>
    <row r="108" spans="2:4">
      <c r="C108" s="19"/>
      <c r="D108" s="19"/>
    </row>
    <row r="109" spans="2:4">
      <c r="C109" s="19"/>
      <c r="D109" s="19"/>
    </row>
    <row r="110" spans="2:4">
      <c r="C110" s="19"/>
      <c r="D110" s="19"/>
    </row>
    <row r="111" spans="2:4">
      <c r="C111" s="19"/>
      <c r="D111" s="19"/>
    </row>
    <row r="112" spans="2:4">
      <c r="C112" s="19"/>
      <c r="D112" s="19"/>
    </row>
    <row r="113" spans="3:4">
      <c r="C113" s="19"/>
      <c r="D113" s="19"/>
    </row>
    <row r="114" spans="3:4">
      <c r="C114" s="19"/>
      <c r="D114" s="19"/>
    </row>
    <row r="115" spans="3:4">
      <c r="C115" s="19"/>
      <c r="D115" s="19"/>
    </row>
    <row r="116" spans="3:4">
      <c r="C116" s="19"/>
      <c r="D116" s="19"/>
    </row>
    <row r="117" spans="3:4">
      <c r="C117" s="19"/>
      <c r="D117" s="19"/>
    </row>
    <row r="118" spans="3:4">
      <c r="C118" s="19"/>
      <c r="D118" s="19"/>
    </row>
    <row r="119" spans="3:4">
      <c r="C119" s="19"/>
      <c r="D119" s="19"/>
    </row>
    <row r="120" spans="3:4">
      <c r="C120" s="19"/>
      <c r="D120" s="19"/>
    </row>
  </sheetData>
  <phoneticPr fontId="7" type="noConversion"/>
  <hyperlinks>
    <hyperlink ref="H197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4"/>
  <sheetViews>
    <sheetView workbookViewId="0">
      <selection activeCell="A15" sqref="A15:D47"/>
    </sheetView>
  </sheetViews>
  <sheetFormatPr defaultRowHeight="12.75"/>
  <cols>
    <col min="1" max="1" width="19.7109375" style="19" customWidth="1"/>
    <col min="2" max="2" width="4.42578125" style="18" customWidth="1"/>
    <col min="3" max="3" width="12.7109375" style="19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9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17" t="s">
        <v>37</v>
      </c>
      <c r="I1" s="20" t="s">
        <v>38</v>
      </c>
      <c r="J1" s="21" t="s">
        <v>39</v>
      </c>
    </row>
    <row r="2" spans="1:16">
      <c r="I2" s="22" t="s">
        <v>40</v>
      </c>
      <c r="J2" s="23" t="s">
        <v>41</v>
      </c>
    </row>
    <row r="3" spans="1:16">
      <c r="A3" s="24" t="s">
        <v>42</v>
      </c>
      <c r="I3" s="22" t="s">
        <v>43</v>
      </c>
      <c r="J3" s="23" t="s">
        <v>44</v>
      </c>
    </row>
    <row r="4" spans="1:16">
      <c r="I4" s="22" t="s">
        <v>45</v>
      </c>
      <c r="J4" s="23" t="s">
        <v>44</v>
      </c>
    </row>
    <row r="5" spans="1:16" ht="13.5" thickBot="1">
      <c r="I5" s="25" t="s">
        <v>46</v>
      </c>
      <c r="J5" s="26" t="s">
        <v>47</v>
      </c>
    </row>
    <row r="10" spans="1:16" ht="13.5" thickBot="1"/>
    <row r="11" spans="1:16" ht="12.75" customHeight="1" thickBot="1">
      <c r="A11" s="19" t="str">
        <f t="shared" ref="A11:A47" si="0">P11</f>
        <v>IBVS 1115 </v>
      </c>
      <c r="B11" s="6" t="str">
        <f t="shared" ref="B11:B47" si="1">IF(H11=INT(H11),"I","II")</f>
        <v>I</v>
      </c>
      <c r="C11" s="19">
        <f t="shared" ref="C11:C47" si="2">1*G11</f>
        <v>37017.434000000001</v>
      </c>
      <c r="D11" s="18" t="str">
        <f t="shared" ref="D11:D47" si="3">VLOOKUP(F11,I$1:J$5,2,FALSE)</f>
        <v>vis</v>
      </c>
      <c r="E11" s="27">
        <f>VLOOKUP(C11,Active!C$21:E$973,3,FALSE)</f>
        <v>0</v>
      </c>
      <c r="F11" s="6" t="s">
        <v>46</v>
      </c>
      <c r="G11" s="18" t="str">
        <f t="shared" ref="G11:G47" si="4">MID(I11,3,LEN(I11)-3)</f>
        <v>37017.434</v>
      </c>
      <c r="H11" s="19">
        <f t="shared" ref="H11:H47" si="5">1*K11</f>
        <v>0</v>
      </c>
      <c r="I11" s="28" t="s">
        <v>58</v>
      </c>
      <c r="J11" s="29" t="s">
        <v>59</v>
      </c>
      <c r="K11" s="28">
        <v>0</v>
      </c>
      <c r="L11" s="28" t="s">
        <v>60</v>
      </c>
      <c r="M11" s="29" t="s">
        <v>52</v>
      </c>
      <c r="N11" s="29"/>
      <c r="O11" s="30" t="s">
        <v>53</v>
      </c>
      <c r="P11" s="31" t="s">
        <v>61</v>
      </c>
    </row>
    <row r="12" spans="1:16" ht="12.75" customHeight="1" thickBot="1">
      <c r="A12" s="19" t="str">
        <f t="shared" si="0"/>
        <v> BBS 95 </v>
      </c>
      <c r="B12" s="6" t="str">
        <f t="shared" si="1"/>
        <v>I</v>
      </c>
      <c r="C12" s="19">
        <f t="shared" si="2"/>
        <v>47968.512000000002</v>
      </c>
      <c r="D12" s="18" t="str">
        <f t="shared" si="3"/>
        <v>vis</v>
      </c>
      <c r="E12" s="27">
        <f>VLOOKUP(C12,Active!C$21:E$973,3,FALSE)</f>
        <v>7229.9738544986549</v>
      </c>
      <c r="F12" s="6" t="s">
        <v>46</v>
      </c>
      <c r="G12" s="18" t="str">
        <f t="shared" si="4"/>
        <v>47968.512</v>
      </c>
      <c r="H12" s="19">
        <f t="shared" si="5"/>
        <v>7230</v>
      </c>
      <c r="I12" s="28" t="s">
        <v>154</v>
      </c>
      <c r="J12" s="29" t="s">
        <v>155</v>
      </c>
      <c r="K12" s="28">
        <v>7230</v>
      </c>
      <c r="L12" s="28" t="s">
        <v>127</v>
      </c>
      <c r="M12" s="29" t="s">
        <v>156</v>
      </c>
      <c r="N12" s="29"/>
      <c r="O12" s="30" t="s">
        <v>157</v>
      </c>
      <c r="P12" s="30" t="s">
        <v>158</v>
      </c>
    </row>
    <row r="13" spans="1:16" ht="12.75" customHeight="1" thickBot="1">
      <c r="A13" s="19" t="str">
        <f t="shared" si="0"/>
        <v> BBS 98 </v>
      </c>
      <c r="B13" s="6" t="str">
        <f t="shared" si="1"/>
        <v>I</v>
      </c>
      <c r="C13" s="19">
        <f t="shared" si="2"/>
        <v>48218.411</v>
      </c>
      <c r="D13" s="18" t="str">
        <f t="shared" si="3"/>
        <v>vis</v>
      </c>
      <c r="E13" s="27">
        <f>VLOOKUP(C13,Active!C$21:E$973,3,FALSE)</f>
        <v>7394.9588209344101</v>
      </c>
      <c r="F13" s="6" t="s">
        <v>46</v>
      </c>
      <c r="G13" s="18" t="str">
        <f t="shared" si="4"/>
        <v>48218.411</v>
      </c>
      <c r="H13" s="19">
        <f t="shared" si="5"/>
        <v>7395</v>
      </c>
      <c r="I13" s="28" t="s">
        <v>159</v>
      </c>
      <c r="J13" s="29" t="s">
        <v>160</v>
      </c>
      <c r="K13" s="28">
        <v>7395</v>
      </c>
      <c r="L13" s="28" t="s">
        <v>161</v>
      </c>
      <c r="M13" s="29" t="s">
        <v>156</v>
      </c>
      <c r="N13" s="29"/>
      <c r="O13" s="30" t="s">
        <v>157</v>
      </c>
      <c r="P13" s="30" t="s">
        <v>162</v>
      </c>
    </row>
    <row r="14" spans="1:16" ht="12.75" customHeight="1" thickBot="1">
      <c r="A14" s="19" t="str">
        <f t="shared" si="0"/>
        <v> BBS 99 </v>
      </c>
      <c r="B14" s="6" t="str">
        <f t="shared" si="1"/>
        <v>I</v>
      </c>
      <c r="C14" s="19">
        <f t="shared" si="2"/>
        <v>48536.476999999999</v>
      </c>
      <c r="D14" s="18" t="str">
        <f t="shared" si="3"/>
        <v>vis</v>
      </c>
      <c r="E14" s="27">
        <f>VLOOKUP(C14,Active!C$21:E$973,3,FALSE)</f>
        <v>7604.9480899365089</v>
      </c>
      <c r="F14" s="6" t="s">
        <v>46</v>
      </c>
      <c r="G14" s="18" t="str">
        <f t="shared" si="4"/>
        <v>48536.477</v>
      </c>
      <c r="H14" s="19">
        <f t="shared" si="5"/>
        <v>7605</v>
      </c>
      <c r="I14" s="28" t="s">
        <v>163</v>
      </c>
      <c r="J14" s="29" t="s">
        <v>164</v>
      </c>
      <c r="K14" s="28">
        <v>7605</v>
      </c>
      <c r="L14" s="28" t="s">
        <v>165</v>
      </c>
      <c r="M14" s="29" t="s">
        <v>156</v>
      </c>
      <c r="N14" s="29"/>
      <c r="O14" s="30" t="s">
        <v>157</v>
      </c>
      <c r="P14" s="30" t="s">
        <v>166</v>
      </c>
    </row>
    <row r="15" spans="1:16" ht="12.75" customHeight="1" thickBot="1">
      <c r="A15" s="19" t="str">
        <f t="shared" si="0"/>
        <v> MHAR 21.11 </v>
      </c>
      <c r="B15" s="6" t="str">
        <f t="shared" si="1"/>
        <v>I</v>
      </c>
      <c r="C15" s="19">
        <f t="shared" si="2"/>
        <v>36482.404999999999</v>
      </c>
      <c r="D15" s="18" t="str">
        <f t="shared" si="3"/>
        <v>vis</v>
      </c>
      <c r="E15" s="27">
        <f>VLOOKUP(C15,Active!C$21:E$973,3,FALSE)</f>
        <v>-353.22967121579967</v>
      </c>
      <c r="F15" s="6" t="s">
        <v>46</v>
      </c>
      <c r="G15" s="18" t="str">
        <f t="shared" si="4"/>
        <v>36482.405</v>
      </c>
      <c r="H15" s="19">
        <f t="shared" si="5"/>
        <v>-353</v>
      </c>
      <c r="I15" s="28" t="s">
        <v>49</v>
      </c>
      <c r="J15" s="29" t="s">
        <v>50</v>
      </c>
      <c r="K15" s="28">
        <v>-353</v>
      </c>
      <c r="L15" s="28" t="s">
        <v>51</v>
      </c>
      <c r="M15" s="29" t="s">
        <v>52</v>
      </c>
      <c r="N15" s="29"/>
      <c r="O15" s="30" t="s">
        <v>53</v>
      </c>
      <c r="P15" s="30" t="s">
        <v>54</v>
      </c>
    </row>
    <row r="16" spans="1:16" ht="12.75" customHeight="1" thickBot="1">
      <c r="A16" s="19" t="str">
        <f t="shared" si="0"/>
        <v> MHAR 21.11 </v>
      </c>
      <c r="B16" s="6" t="str">
        <f t="shared" si="1"/>
        <v>II</v>
      </c>
      <c r="C16" s="19">
        <f t="shared" si="2"/>
        <v>36810.512000000002</v>
      </c>
      <c r="D16" s="18" t="str">
        <f t="shared" si="3"/>
        <v>vis</v>
      </c>
      <c r="E16" s="27">
        <f>VLOOKUP(C16,Active!C$21:E$973,3,FALSE)</f>
        <v>-136.61126785149014</v>
      </c>
      <c r="F16" s="6" t="s">
        <v>46</v>
      </c>
      <c r="G16" s="18" t="str">
        <f t="shared" si="4"/>
        <v>36810.512</v>
      </c>
      <c r="H16" s="19">
        <f t="shared" si="5"/>
        <v>-136.5</v>
      </c>
      <c r="I16" s="28" t="s">
        <v>55</v>
      </c>
      <c r="J16" s="29" t="s">
        <v>56</v>
      </c>
      <c r="K16" s="28">
        <v>-136.5</v>
      </c>
      <c r="L16" s="28" t="s">
        <v>57</v>
      </c>
      <c r="M16" s="29" t="s">
        <v>52</v>
      </c>
      <c r="N16" s="29"/>
      <c r="O16" s="30" t="s">
        <v>53</v>
      </c>
      <c r="P16" s="30" t="s">
        <v>54</v>
      </c>
    </row>
    <row r="17" spans="1:16" ht="12.75" customHeight="1" thickBot="1">
      <c r="A17" s="19" t="str">
        <f t="shared" si="0"/>
        <v>IBVS 1115 </v>
      </c>
      <c r="B17" s="6" t="str">
        <f t="shared" si="1"/>
        <v>II</v>
      </c>
      <c r="C17" s="19">
        <f t="shared" si="2"/>
        <v>37045.410000000003</v>
      </c>
      <c r="D17" s="18" t="str">
        <f t="shared" si="3"/>
        <v>vis</v>
      </c>
      <c r="E17" s="27">
        <f>VLOOKUP(C17,Active!C$21:E$973,3,FALSE)</f>
        <v>18.469939539602549</v>
      </c>
      <c r="F17" s="6" t="s">
        <v>46</v>
      </c>
      <c r="G17" s="18" t="str">
        <f t="shared" si="4"/>
        <v>37045.410</v>
      </c>
      <c r="H17" s="19">
        <f t="shared" si="5"/>
        <v>18.5</v>
      </c>
      <c r="I17" s="28" t="s">
        <v>62</v>
      </c>
      <c r="J17" s="29" t="s">
        <v>63</v>
      </c>
      <c r="K17" s="28">
        <v>18.5</v>
      </c>
      <c r="L17" s="28" t="s">
        <v>64</v>
      </c>
      <c r="M17" s="29" t="s">
        <v>52</v>
      </c>
      <c r="N17" s="29"/>
      <c r="O17" s="30" t="s">
        <v>53</v>
      </c>
      <c r="P17" s="31" t="s">
        <v>61</v>
      </c>
    </row>
    <row r="18" spans="1:16" ht="12.75" customHeight="1" thickBot="1">
      <c r="A18" s="19" t="str">
        <f t="shared" si="0"/>
        <v> MHAR 21.11 </v>
      </c>
      <c r="B18" s="6" t="str">
        <f t="shared" si="1"/>
        <v>II</v>
      </c>
      <c r="C18" s="19">
        <f t="shared" si="2"/>
        <v>37348.428</v>
      </c>
      <c r="D18" s="18" t="str">
        <f t="shared" si="3"/>
        <v>vis</v>
      </c>
      <c r="E18" s="27">
        <f>VLOOKUP(C18,Active!C$21:E$973,3,FALSE)</f>
        <v>218.52441978734137</v>
      </c>
      <c r="F18" s="6" t="s">
        <v>46</v>
      </c>
      <c r="G18" s="18" t="str">
        <f t="shared" si="4"/>
        <v>37348.428</v>
      </c>
      <c r="H18" s="19">
        <f t="shared" si="5"/>
        <v>218.5</v>
      </c>
      <c r="I18" s="28" t="s">
        <v>65</v>
      </c>
      <c r="J18" s="29" t="s">
        <v>66</v>
      </c>
      <c r="K18" s="28">
        <v>218.5</v>
      </c>
      <c r="L18" s="28" t="s">
        <v>67</v>
      </c>
      <c r="M18" s="29" t="s">
        <v>52</v>
      </c>
      <c r="N18" s="29"/>
      <c r="O18" s="30" t="s">
        <v>53</v>
      </c>
      <c r="P18" s="30" t="s">
        <v>54</v>
      </c>
    </row>
    <row r="19" spans="1:16" ht="12.75" customHeight="1" thickBot="1">
      <c r="A19" s="19" t="str">
        <f t="shared" si="0"/>
        <v> MHAR 21.11 </v>
      </c>
      <c r="B19" s="6" t="str">
        <f t="shared" si="1"/>
        <v>II</v>
      </c>
      <c r="C19" s="19">
        <f t="shared" si="2"/>
        <v>37545.423000000003</v>
      </c>
      <c r="D19" s="18" t="str">
        <f t="shared" si="3"/>
        <v>vis</v>
      </c>
      <c r="E19" s="27">
        <f>VLOOKUP(C19,Active!C$21:E$973,3,FALSE)</f>
        <v>348.58181682779542</v>
      </c>
      <c r="F19" s="6" t="s">
        <v>46</v>
      </c>
      <c r="G19" s="18" t="str">
        <f t="shared" si="4"/>
        <v>37545.423</v>
      </c>
      <c r="H19" s="19">
        <f t="shared" si="5"/>
        <v>348.5</v>
      </c>
      <c r="I19" s="28" t="s">
        <v>68</v>
      </c>
      <c r="J19" s="29" t="s">
        <v>69</v>
      </c>
      <c r="K19" s="28">
        <v>348.5</v>
      </c>
      <c r="L19" s="28" t="s">
        <v>70</v>
      </c>
      <c r="M19" s="29" t="s">
        <v>52</v>
      </c>
      <c r="N19" s="29"/>
      <c r="O19" s="30" t="s">
        <v>53</v>
      </c>
      <c r="P19" s="30" t="s">
        <v>54</v>
      </c>
    </row>
    <row r="20" spans="1:16" ht="12.75" customHeight="1" thickBot="1">
      <c r="A20" s="19" t="str">
        <f t="shared" si="0"/>
        <v> MHAR 21.11 </v>
      </c>
      <c r="B20" s="6" t="str">
        <f t="shared" si="1"/>
        <v>I</v>
      </c>
      <c r="C20" s="19">
        <f t="shared" si="2"/>
        <v>37558.500999999997</v>
      </c>
      <c r="D20" s="18" t="str">
        <f t="shared" si="3"/>
        <v>vis</v>
      </c>
      <c r="E20" s="27">
        <f>VLOOKUP(C20,Active!C$21:E$973,3,FALSE)</f>
        <v>357.21599860141532</v>
      </c>
      <c r="F20" s="6" t="s">
        <v>46</v>
      </c>
      <c r="G20" s="18" t="str">
        <f t="shared" si="4"/>
        <v>37558.501</v>
      </c>
      <c r="H20" s="19">
        <f t="shared" si="5"/>
        <v>357</v>
      </c>
      <c r="I20" s="28" t="s">
        <v>71</v>
      </c>
      <c r="J20" s="29" t="s">
        <v>72</v>
      </c>
      <c r="K20" s="28">
        <v>357</v>
      </c>
      <c r="L20" s="28" t="s">
        <v>73</v>
      </c>
      <c r="M20" s="29" t="s">
        <v>52</v>
      </c>
      <c r="N20" s="29"/>
      <c r="O20" s="30" t="s">
        <v>53</v>
      </c>
      <c r="P20" s="30" t="s">
        <v>54</v>
      </c>
    </row>
    <row r="21" spans="1:16" ht="12.75" customHeight="1" thickBot="1">
      <c r="A21" s="19" t="str">
        <f t="shared" si="0"/>
        <v> MHAR 21.11 </v>
      </c>
      <c r="B21" s="6" t="str">
        <f t="shared" si="1"/>
        <v>I</v>
      </c>
      <c r="C21" s="19">
        <f t="shared" si="2"/>
        <v>37932.633000000002</v>
      </c>
      <c r="D21" s="18" t="str">
        <f t="shared" si="3"/>
        <v>vis</v>
      </c>
      <c r="E21" s="27">
        <f>VLOOKUP(C21,Active!C$21:E$973,3,FALSE)</f>
        <v>604.22041023388908</v>
      </c>
      <c r="F21" s="6" t="s">
        <v>46</v>
      </c>
      <c r="G21" s="18" t="str">
        <f t="shared" si="4"/>
        <v>37932.633</v>
      </c>
      <c r="H21" s="19">
        <f t="shared" si="5"/>
        <v>604</v>
      </c>
      <c r="I21" s="28" t="s">
        <v>74</v>
      </c>
      <c r="J21" s="29" t="s">
        <v>75</v>
      </c>
      <c r="K21" s="28">
        <v>604</v>
      </c>
      <c r="L21" s="28" t="s">
        <v>76</v>
      </c>
      <c r="M21" s="29" t="s">
        <v>52</v>
      </c>
      <c r="N21" s="29"/>
      <c r="O21" s="30" t="s">
        <v>53</v>
      </c>
      <c r="P21" s="30" t="s">
        <v>54</v>
      </c>
    </row>
    <row r="22" spans="1:16" ht="12.75" customHeight="1" thickBot="1">
      <c r="A22" s="19" t="str">
        <f t="shared" si="0"/>
        <v> MHAR 21.11 </v>
      </c>
      <c r="B22" s="6" t="str">
        <f t="shared" si="1"/>
        <v>II</v>
      </c>
      <c r="C22" s="19">
        <f t="shared" si="2"/>
        <v>38001.425999999999</v>
      </c>
      <c r="D22" s="18" t="str">
        <f t="shared" si="3"/>
        <v>vis</v>
      </c>
      <c r="E22" s="27">
        <f>VLOOKUP(C22,Active!C$21:E$973,3,FALSE)</f>
        <v>649.63800212507192</v>
      </c>
      <c r="F22" s="6" t="s">
        <v>46</v>
      </c>
      <c r="G22" s="18" t="str">
        <f t="shared" si="4"/>
        <v>38001.426</v>
      </c>
      <c r="H22" s="19">
        <f t="shared" si="5"/>
        <v>649.5</v>
      </c>
      <c r="I22" s="28" t="s">
        <v>77</v>
      </c>
      <c r="J22" s="29" t="s">
        <v>78</v>
      </c>
      <c r="K22" s="28">
        <v>649.5</v>
      </c>
      <c r="L22" s="28" t="s">
        <v>79</v>
      </c>
      <c r="M22" s="29" t="s">
        <v>52</v>
      </c>
      <c r="N22" s="29"/>
      <c r="O22" s="30" t="s">
        <v>53</v>
      </c>
      <c r="P22" s="30" t="s">
        <v>54</v>
      </c>
    </row>
    <row r="23" spans="1:16" ht="12.75" customHeight="1" thickBot="1">
      <c r="A23" s="19" t="str">
        <f t="shared" si="0"/>
        <v> MHAR 21.11 </v>
      </c>
      <c r="B23" s="6" t="str">
        <f t="shared" si="1"/>
        <v>II</v>
      </c>
      <c r="C23" s="19">
        <f t="shared" si="2"/>
        <v>38372.302000000003</v>
      </c>
      <c r="D23" s="18" t="str">
        <f t="shared" si="3"/>
        <v>vis</v>
      </c>
      <c r="E23" s="27">
        <f>VLOOKUP(C23,Active!C$21:E$973,3,FALSE)</f>
        <v>894.49278110309308</v>
      </c>
      <c r="F23" s="6" t="s">
        <v>46</v>
      </c>
      <c r="G23" s="18" t="str">
        <f t="shared" si="4"/>
        <v>38372.302</v>
      </c>
      <c r="H23" s="19">
        <f t="shared" si="5"/>
        <v>894.5</v>
      </c>
      <c r="I23" s="28" t="s">
        <v>80</v>
      </c>
      <c r="J23" s="29" t="s">
        <v>81</v>
      </c>
      <c r="K23" s="28">
        <v>894.5</v>
      </c>
      <c r="L23" s="28" t="s">
        <v>82</v>
      </c>
      <c r="M23" s="29" t="s">
        <v>52</v>
      </c>
      <c r="N23" s="29"/>
      <c r="O23" s="30" t="s">
        <v>53</v>
      </c>
      <c r="P23" s="30" t="s">
        <v>54</v>
      </c>
    </row>
    <row r="24" spans="1:16" ht="12.75" customHeight="1" thickBot="1">
      <c r="A24" s="19" t="str">
        <f t="shared" si="0"/>
        <v> MHAR 21.11 </v>
      </c>
      <c r="B24" s="6" t="str">
        <f t="shared" si="1"/>
        <v>I</v>
      </c>
      <c r="C24" s="19">
        <f t="shared" si="2"/>
        <v>38467.305999999997</v>
      </c>
      <c r="D24" s="18" t="str">
        <f t="shared" si="3"/>
        <v>vis</v>
      </c>
      <c r="E24" s="27">
        <f>VLOOKUP(C24,Active!C$21:E$973,3,FALSE)</f>
        <v>957.21504790392703</v>
      </c>
      <c r="F24" s="6" t="s">
        <v>46</v>
      </c>
      <c r="G24" s="18" t="str">
        <f t="shared" si="4"/>
        <v>38467.306</v>
      </c>
      <c r="H24" s="19">
        <f t="shared" si="5"/>
        <v>957</v>
      </c>
      <c r="I24" s="28" t="s">
        <v>83</v>
      </c>
      <c r="J24" s="29" t="s">
        <v>84</v>
      </c>
      <c r="K24" s="28">
        <v>957</v>
      </c>
      <c r="L24" s="28" t="s">
        <v>85</v>
      </c>
      <c r="M24" s="29" t="s">
        <v>52</v>
      </c>
      <c r="N24" s="29"/>
      <c r="O24" s="30" t="s">
        <v>53</v>
      </c>
      <c r="P24" s="30" t="s">
        <v>54</v>
      </c>
    </row>
    <row r="25" spans="1:16" ht="12.75" customHeight="1" thickBot="1">
      <c r="A25" s="19" t="str">
        <f t="shared" si="0"/>
        <v>IBVS 1115 </v>
      </c>
      <c r="B25" s="6" t="str">
        <f t="shared" si="1"/>
        <v>I</v>
      </c>
      <c r="C25" s="19">
        <f t="shared" si="2"/>
        <v>39027.43</v>
      </c>
      <c r="D25" s="18" t="str">
        <f t="shared" si="3"/>
        <v>vis</v>
      </c>
      <c r="E25" s="27">
        <f>VLOOKUP(C25,Active!C$21:E$973,3,FALSE)</f>
        <v>1327.0126034758287</v>
      </c>
      <c r="F25" s="6" t="s">
        <v>46</v>
      </c>
      <c r="G25" s="18" t="str">
        <f t="shared" si="4"/>
        <v>39027.430</v>
      </c>
      <c r="H25" s="19">
        <f t="shared" si="5"/>
        <v>1327</v>
      </c>
      <c r="I25" s="28" t="s">
        <v>86</v>
      </c>
      <c r="J25" s="29" t="s">
        <v>87</v>
      </c>
      <c r="K25" s="28">
        <v>1327</v>
      </c>
      <c r="L25" s="28" t="s">
        <v>88</v>
      </c>
      <c r="M25" s="29" t="s">
        <v>52</v>
      </c>
      <c r="N25" s="29"/>
      <c r="O25" s="30" t="s">
        <v>53</v>
      </c>
      <c r="P25" s="31" t="s">
        <v>61</v>
      </c>
    </row>
    <row r="26" spans="1:16" ht="12.75" customHeight="1" thickBot="1">
      <c r="A26" s="19" t="str">
        <f t="shared" si="0"/>
        <v> MHAR 21.11 </v>
      </c>
      <c r="B26" s="6" t="str">
        <f t="shared" si="1"/>
        <v>II</v>
      </c>
      <c r="C26" s="19">
        <f t="shared" si="2"/>
        <v>39028.421999999999</v>
      </c>
      <c r="D26" s="18" t="str">
        <f t="shared" si="3"/>
        <v>vis</v>
      </c>
      <c r="E26" s="27">
        <f>VLOOKUP(C26,Active!C$21:E$973,3,FALSE)</f>
        <v>1327.6675284123189</v>
      </c>
      <c r="F26" s="6" t="s">
        <v>46</v>
      </c>
      <c r="G26" s="18" t="str">
        <f t="shared" si="4"/>
        <v>39028.422</v>
      </c>
      <c r="H26" s="19">
        <f t="shared" si="5"/>
        <v>1327.5</v>
      </c>
      <c r="I26" s="28" t="s">
        <v>89</v>
      </c>
      <c r="J26" s="29" t="s">
        <v>90</v>
      </c>
      <c r="K26" s="28">
        <v>1327.5</v>
      </c>
      <c r="L26" s="28" t="s">
        <v>91</v>
      </c>
      <c r="M26" s="29" t="s">
        <v>52</v>
      </c>
      <c r="N26" s="29"/>
      <c r="O26" s="30" t="s">
        <v>53</v>
      </c>
      <c r="P26" s="30" t="s">
        <v>54</v>
      </c>
    </row>
    <row r="27" spans="1:16" ht="12.75" customHeight="1" thickBot="1">
      <c r="A27" s="19" t="str">
        <f t="shared" si="0"/>
        <v>IBVS 1115 </v>
      </c>
      <c r="B27" s="6" t="str">
        <f t="shared" si="1"/>
        <v>I</v>
      </c>
      <c r="C27" s="19">
        <f t="shared" si="2"/>
        <v>39033.483</v>
      </c>
      <c r="D27" s="18" t="str">
        <f t="shared" si="3"/>
        <v>vis</v>
      </c>
      <c r="E27" s="27">
        <f>VLOOKUP(C27,Active!C$21:E$973,3,FALSE)</f>
        <v>1331.0088339602869</v>
      </c>
      <c r="F27" s="6" t="s">
        <v>46</v>
      </c>
      <c r="G27" s="18" t="str">
        <f t="shared" si="4"/>
        <v>39033.483</v>
      </c>
      <c r="H27" s="19">
        <f t="shared" si="5"/>
        <v>1331</v>
      </c>
      <c r="I27" s="28" t="s">
        <v>92</v>
      </c>
      <c r="J27" s="29" t="s">
        <v>93</v>
      </c>
      <c r="K27" s="28">
        <v>1331</v>
      </c>
      <c r="L27" s="28" t="s">
        <v>94</v>
      </c>
      <c r="M27" s="29" t="s">
        <v>52</v>
      </c>
      <c r="N27" s="29"/>
      <c r="O27" s="30" t="s">
        <v>53</v>
      </c>
      <c r="P27" s="31" t="s">
        <v>61</v>
      </c>
    </row>
    <row r="28" spans="1:16" ht="12.75" customHeight="1" thickBot="1">
      <c r="A28" s="19" t="str">
        <f t="shared" si="0"/>
        <v> MHAR 21.11 </v>
      </c>
      <c r="B28" s="6" t="str">
        <f t="shared" si="1"/>
        <v>I</v>
      </c>
      <c r="C28" s="19">
        <f t="shared" si="2"/>
        <v>39179.31</v>
      </c>
      <c r="D28" s="18" t="str">
        <f t="shared" si="3"/>
        <v>vis</v>
      </c>
      <c r="E28" s="27">
        <f>VLOOKUP(C28,Active!C$21:E$973,3,FALSE)</f>
        <v>1427.2847802442925</v>
      </c>
      <c r="F28" s="6" t="s">
        <v>46</v>
      </c>
      <c r="G28" s="18" t="str">
        <f t="shared" si="4"/>
        <v>39179.310</v>
      </c>
      <c r="H28" s="19">
        <f t="shared" si="5"/>
        <v>1427</v>
      </c>
      <c r="I28" s="28" t="s">
        <v>95</v>
      </c>
      <c r="J28" s="29" t="s">
        <v>96</v>
      </c>
      <c r="K28" s="28">
        <v>1427</v>
      </c>
      <c r="L28" s="28" t="s">
        <v>97</v>
      </c>
      <c r="M28" s="29" t="s">
        <v>52</v>
      </c>
      <c r="N28" s="29"/>
      <c r="O28" s="30" t="s">
        <v>53</v>
      </c>
      <c r="P28" s="30" t="s">
        <v>54</v>
      </c>
    </row>
    <row r="29" spans="1:16" ht="12.75" customHeight="1" thickBot="1">
      <c r="A29" s="19" t="str">
        <f t="shared" si="0"/>
        <v> MHAR 21.11 </v>
      </c>
      <c r="B29" s="6" t="str">
        <f t="shared" si="1"/>
        <v>II</v>
      </c>
      <c r="C29" s="19">
        <f t="shared" si="2"/>
        <v>39379.478999999999</v>
      </c>
      <c r="D29" s="18" t="str">
        <f t="shared" si="3"/>
        <v>vis</v>
      </c>
      <c r="E29" s="27">
        <f>VLOOKUP(C29,Active!C$21:E$973,3,FALSE)</f>
        <v>1559.4376729988828</v>
      </c>
      <c r="F29" s="6" t="s">
        <v>46</v>
      </c>
      <c r="G29" s="18" t="str">
        <f t="shared" si="4"/>
        <v>39379.479</v>
      </c>
      <c r="H29" s="19">
        <f t="shared" si="5"/>
        <v>1559.5</v>
      </c>
      <c r="I29" s="28" t="s">
        <v>98</v>
      </c>
      <c r="J29" s="29" t="s">
        <v>99</v>
      </c>
      <c r="K29" s="28">
        <v>1559.5</v>
      </c>
      <c r="L29" s="28" t="s">
        <v>100</v>
      </c>
      <c r="M29" s="29" t="s">
        <v>52</v>
      </c>
      <c r="N29" s="29"/>
      <c r="O29" s="30" t="s">
        <v>53</v>
      </c>
      <c r="P29" s="30" t="s">
        <v>54</v>
      </c>
    </row>
    <row r="30" spans="1:16" ht="12.75" customHeight="1" thickBot="1">
      <c r="A30" s="19" t="str">
        <f t="shared" si="0"/>
        <v>IBVS 1115 </v>
      </c>
      <c r="B30" s="6" t="str">
        <f t="shared" si="1"/>
        <v>I</v>
      </c>
      <c r="C30" s="19">
        <f t="shared" si="2"/>
        <v>39389.404000000002</v>
      </c>
      <c r="D30" s="18" t="str">
        <f t="shared" si="3"/>
        <v>vis</v>
      </c>
      <c r="E30" s="27">
        <f>VLOOKUP(C30,Active!C$21:E$973,3,FALSE)</f>
        <v>1565.990223396745</v>
      </c>
      <c r="F30" s="6" t="s">
        <v>46</v>
      </c>
      <c r="G30" s="18" t="str">
        <f t="shared" si="4"/>
        <v>39389.404</v>
      </c>
      <c r="H30" s="19">
        <f t="shared" si="5"/>
        <v>1566</v>
      </c>
      <c r="I30" s="28" t="s">
        <v>101</v>
      </c>
      <c r="J30" s="29" t="s">
        <v>102</v>
      </c>
      <c r="K30" s="28">
        <v>1566</v>
      </c>
      <c r="L30" s="28" t="s">
        <v>103</v>
      </c>
      <c r="M30" s="29" t="s">
        <v>52</v>
      </c>
      <c r="N30" s="29"/>
      <c r="O30" s="30" t="s">
        <v>53</v>
      </c>
      <c r="P30" s="31" t="s">
        <v>61</v>
      </c>
    </row>
    <row r="31" spans="1:16" ht="12.75" customHeight="1" thickBot="1">
      <c r="A31" s="19" t="str">
        <f t="shared" si="0"/>
        <v> MHAR 21.11 </v>
      </c>
      <c r="B31" s="6" t="str">
        <f t="shared" si="1"/>
        <v>I</v>
      </c>
      <c r="C31" s="19">
        <f t="shared" si="2"/>
        <v>39684.514999999999</v>
      </c>
      <c r="D31" s="18" t="str">
        <f t="shared" si="3"/>
        <v>vis</v>
      </c>
      <c r="E31" s="27">
        <f>VLOOKUP(C31,Active!C$21:E$973,3,FALSE)</f>
        <v>1760.82445014364</v>
      </c>
      <c r="F31" s="6" t="s">
        <v>46</v>
      </c>
      <c r="G31" s="18" t="str">
        <f t="shared" si="4"/>
        <v>39684.515</v>
      </c>
      <c r="H31" s="19">
        <f t="shared" si="5"/>
        <v>1761</v>
      </c>
      <c r="I31" s="28" t="s">
        <v>104</v>
      </c>
      <c r="J31" s="29" t="s">
        <v>105</v>
      </c>
      <c r="K31" s="28">
        <v>1761</v>
      </c>
      <c r="L31" s="28" t="s">
        <v>106</v>
      </c>
      <c r="M31" s="29" t="s">
        <v>52</v>
      </c>
      <c r="N31" s="29"/>
      <c r="O31" s="30" t="s">
        <v>53</v>
      </c>
      <c r="P31" s="30" t="s">
        <v>54</v>
      </c>
    </row>
    <row r="32" spans="1:16" ht="12.75" customHeight="1" thickBot="1">
      <c r="A32" s="19" t="str">
        <f t="shared" si="0"/>
        <v> MHAR 21.11 </v>
      </c>
      <c r="B32" s="6" t="str">
        <f t="shared" si="1"/>
        <v>II</v>
      </c>
      <c r="C32" s="19">
        <f t="shared" si="2"/>
        <v>40127.432000000001</v>
      </c>
      <c r="D32" s="18" t="str">
        <f t="shared" si="3"/>
        <v>vis</v>
      </c>
      <c r="E32" s="27">
        <f>VLOOKUP(C32,Active!C$21:E$973,3,FALSE)</f>
        <v>2053.2411720145819</v>
      </c>
      <c r="F32" s="6" t="s">
        <v>46</v>
      </c>
      <c r="G32" s="18" t="str">
        <f t="shared" si="4"/>
        <v>40127.432</v>
      </c>
      <c r="H32" s="19">
        <f t="shared" si="5"/>
        <v>2053.5</v>
      </c>
      <c r="I32" s="28" t="s">
        <v>107</v>
      </c>
      <c r="J32" s="29" t="s">
        <v>108</v>
      </c>
      <c r="K32" s="28">
        <v>2053.5</v>
      </c>
      <c r="L32" s="28" t="s">
        <v>109</v>
      </c>
      <c r="M32" s="29" t="s">
        <v>52</v>
      </c>
      <c r="N32" s="29"/>
      <c r="O32" s="30" t="s">
        <v>53</v>
      </c>
      <c r="P32" s="30" t="s">
        <v>54</v>
      </c>
    </row>
    <row r="33" spans="1:16" ht="12.75" customHeight="1" thickBot="1">
      <c r="A33" s="19" t="str">
        <f t="shared" si="0"/>
        <v> MHAR 21.11 </v>
      </c>
      <c r="B33" s="6" t="str">
        <f t="shared" si="1"/>
        <v>II</v>
      </c>
      <c r="C33" s="19">
        <f t="shared" si="2"/>
        <v>40150.451999999997</v>
      </c>
      <c r="D33" s="18" t="str">
        <f t="shared" si="3"/>
        <v>vis</v>
      </c>
      <c r="E33" s="27">
        <f>VLOOKUP(C33,Active!C$21:E$973,3,FALSE)</f>
        <v>2068.4391276980805</v>
      </c>
      <c r="F33" s="6" t="s">
        <v>46</v>
      </c>
      <c r="G33" s="18" t="str">
        <f t="shared" si="4"/>
        <v>40150.452</v>
      </c>
      <c r="H33" s="19">
        <f t="shared" si="5"/>
        <v>2068.5</v>
      </c>
      <c r="I33" s="28" t="s">
        <v>110</v>
      </c>
      <c r="J33" s="29" t="s">
        <v>111</v>
      </c>
      <c r="K33" s="28">
        <v>2068.5</v>
      </c>
      <c r="L33" s="28" t="s">
        <v>112</v>
      </c>
      <c r="M33" s="29" t="s">
        <v>52</v>
      </c>
      <c r="N33" s="29"/>
      <c r="O33" s="30" t="s">
        <v>53</v>
      </c>
      <c r="P33" s="30" t="s">
        <v>54</v>
      </c>
    </row>
    <row r="34" spans="1:16" ht="12.75" customHeight="1" thickBot="1">
      <c r="A34" s="19" t="str">
        <f t="shared" si="0"/>
        <v> MHAR 21.11 </v>
      </c>
      <c r="B34" s="6" t="str">
        <f t="shared" si="1"/>
        <v>II</v>
      </c>
      <c r="C34" s="19">
        <f t="shared" si="2"/>
        <v>40232.32</v>
      </c>
      <c r="D34" s="18" t="str">
        <f t="shared" si="3"/>
        <v>vis</v>
      </c>
      <c r="E34" s="27">
        <f>VLOOKUP(C34,Active!C$21:E$973,3,FALSE)</f>
        <v>2122.4889207431224</v>
      </c>
      <c r="F34" s="6" t="s">
        <v>46</v>
      </c>
      <c r="G34" s="18" t="str">
        <f t="shared" si="4"/>
        <v>40232.320</v>
      </c>
      <c r="H34" s="19">
        <f t="shared" si="5"/>
        <v>2122.5</v>
      </c>
      <c r="I34" s="28" t="s">
        <v>113</v>
      </c>
      <c r="J34" s="29" t="s">
        <v>114</v>
      </c>
      <c r="K34" s="28">
        <v>2122.5</v>
      </c>
      <c r="L34" s="28" t="s">
        <v>115</v>
      </c>
      <c r="M34" s="29" t="s">
        <v>52</v>
      </c>
      <c r="N34" s="29"/>
      <c r="O34" s="30" t="s">
        <v>53</v>
      </c>
      <c r="P34" s="30" t="s">
        <v>54</v>
      </c>
    </row>
    <row r="35" spans="1:16" ht="12.75" customHeight="1" thickBot="1">
      <c r="A35" s="19" t="str">
        <f t="shared" si="0"/>
        <v> MHAR 21.11 </v>
      </c>
      <c r="B35" s="6" t="str">
        <f t="shared" si="1"/>
        <v>I</v>
      </c>
      <c r="C35" s="19">
        <f t="shared" si="2"/>
        <v>40419.512000000002</v>
      </c>
      <c r="D35" s="18" t="str">
        <f t="shared" si="3"/>
        <v>vis</v>
      </c>
      <c r="E35" s="27">
        <f>VLOOKUP(C35,Active!C$21:E$973,3,FALSE)</f>
        <v>2246.0743125895992</v>
      </c>
      <c r="F35" s="6" t="s">
        <v>46</v>
      </c>
      <c r="G35" s="18" t="str">
        <f t="shared" si="4"/>
        <v>40419.512</v>
      </c>
      <c r="H35" s="19">
        <f t="shared" si="5"/>
        <v>2246</v>
      </c>
      <c r="I35" s="28" t="s">
        <v>116</v>
      </c>
      <c r="J35" s="29" t="s">
        <v>117</v>
      </c>
      <c r="K35" s="28">
        <v>2246</v>
      </c>
      <c r="L35" s="28" t="s">
        <v>118</v>
      </c>
      <c r="M35" s="29" t="s">
        <v>52</v>
      </c>
      <c r="N35" s="29"/>
      <c r="O35" s="30" t="s">
        <v>53</v>
      </c>
      <c r="P35" s="30" t="s">
        <v>54</v>
      </c>
    </row>
    <row r="36" spans="1:16" ht="12.75" customHeight="1" thickBot="1">
      <c r="A36" s="19" t="str">
        <f t="shared" si="0"/>
        <v> MHAR 21.11 </v>
      </c>
      <c r="B36" s="6" t="str">
        <f t="shared" si="1"/>
        <v>I</v>
      </c>
      <c r="C36" s="19">
        <f t="shared" si="2"/>
        <v>40478.502999999997</v>
      </c>
      <c r="D36" s="18" t="str">
        <f t="shared" si="3"/>
        <v>vis</v>
      </c>
      <c r="E36" s="27">
        <f>VLOOKUP(C36,Active!C$21:E$973,3,FALSE)</f>
        <v>2285.0205594933918</v>
      </c>
      <c r="F36" s="6" t="s">
        <v>46</v>
      </c>
      <c r="G36" s="18" t="str">
        <f t="shared" si="4"/>
        <v>40478.503</v>
      </c>
      <c r="H36" s="19">
        <f t="shared" si="5"/>
        <v>2285</v>
      </c>
      <c r="I36" s="28" t="s">
        <v>119</v>
      </c>
      <c r="J36" s="29" t="s">
        <v>120</v>
      </c>
      <c r="K36" s="28">
        <v>2285</v>
      </c>
      <c r="L36" s="28" t="s">
        <v>121</v>
      </c>
      <c r="M36" s="29" t="s">
        <v>52</v>
      </c>
      <c r="N36" s="29"/>
      <c r="O36" s="30" t="s">
        <v>53</v>
      </c>
      <c r="P36" s="30" t="s">
        <v>54</v>
      </c>
    </row>
    <row r="37" spans="1:16" ht="12.75" customHeight="1" thickBot="1">
      <c r="A37" s="19" t="str">
        <f t="shared" si="0"/>
        <v> MHAR 21.11 </v>
      </c>
      <c r="B37" s="6" t="str">
        <f t="shared" si="1"/>
        <v>II</v>
      </c>
      <c r="C37" s="19">
        <f t="shared" si="2"/>
        <v>40839.480000000003</v>
      </c>
      <c r="D37" s="18" t="str">
        <f t="shared" si="3"/>
        <v>vis</v>
      </c>
      <c r="E37" s="27">
        <f>VLOOKUP(C37,Active!C$21:E$973,3,FALSE)</f>
        <v>2523.3399534448736</v>
      </c>
      <c r="F37" s="6" t="s">
        <v>46</v>
      </c>
      <c r="G37" s="18" t="str">
        <f t="shared" si="4"/>
        <v>40839.480</v>
      </c>
      <c r="H37" s="19">
        <f t="shared" si="5"/>
        <v>2523.5</v>
      </c>
      <c r="I37" s="28" t="s">
        <v>122</v>
      </c>
      <c r="J37" s="29" t="s">
        <v>123</v>
      </c>
      <c r="K37" s="28">
        <v>2523.5</v>
      </c>
      <c r="L37" s="28" t="s">
        <v>124</v>
      </c>
      <c r="M37" s="29" t="s">
        <v>52</v>
      </c>
      <c r="N37" s="29"/>
      <c r="O37" s="30" t="s">
        <v>53</v>
      </c>
      <c r="P37" s="30" t="s">
        <v>54</v>
      </c>
    </row>
    <row r="38" spans="1:16" ht="12.75" customHeight="1" thickBot="1">
      <c r="A38" s="19" t="str">
        <f t="shared" si="0"/>
        <v> MHAR 21.11 </v>
      </c>
      <c r="B38" s="6" t="str">
        <f t="shared" si="1"/>
        <v>I</v>
      </c>
      <c r="C38" s="19">
        <f t="shared" si="2"/>
        <v>41249.402999999998</v>
      </c>
      <c r="D38" s="18" t="str">
        <f t="shared" si="3"/>
        <v>vis</v>
      </c>
      <c r="E38" s="27">
        <f>VLOOKUP(C38,Active!C$21:E$973,3,FALSE)</f>
        <v>2793.9738191115794</v>
      </c>
      <c r="F38" s="6" t="s">
        <v>46</v>
      </c>
      <c r="G38" s="18" t="str">
        <f t="shared" si="4"/>
        <v>41249.403</v>
      </c>
      <c r="H38" s="19">
        <f t="shared" si="5"/>
        <v>2794</v>
      </c>
      <c r="I38" s="28" t="s">
        <v>125</v>
      </c>
      <c r="J38" s="29" t="s">
        <v>126</v>
      </c>
      <c r="K38" s="28">
        <v>2794</v>
      </c>
      <c r="L38" s="28" t="s">
        <v>127</v>
      </c>
      <c r="M38" s="29" t="s">
        <v>52</v>
      </c>
      <c r="N38" s="29"/>
      <c r="O38" s="30" t="s">
        <v>53</v>
      </c>
      <c r="P38" s="30" t="s">
        <v>54</v>
      </c>
    </row>
    <row r="39" spans="1:16" ht="12.75" customHeight="1" thickBot="1">
      <c r="A39" s="19" t="str">
        <f t="shared" si="0"/>
        <v>IBVS 1115 </v>
      </c>
      <c r="B39" s="6" t="str">
        <f t="shared" si="1"/>
        <v>I</v>
      </c>
      <c r="C39" s="19">
        <f t="shared" si="2"/>
        <v>41596.300999999999</v>
      </c>
      <c r="D39" s="18" t="str">
        <f t="shared" si="3"/>
        <v>vis</v>
      </c>
      <c r="E39" s="27">
        <f>VLOOKUP(C39,Active!C$21:E$973,3,FALSE)</f>
        <v>3022.9981644936397</v>
      </c>
      <c r="F39" s="6" t="s">
        <v>46</v>
      </c>
      <c r="G39" s="18" t="str">
        <f t="shared" si="4"/>
        <v>41596.301</v>
      </c>
      <c r="H39" s="19">
        <f t="shared" si="5"/>
        <v>3023</v>
      </c>
      <c r="I39" s="28" t="s">
        <v>128</v>
      </c>
      <c r="J39" s="29" t="s">
        <v>129</v>
      </c>
      <c r="K39" s="28">
        <v>3023</v>
      </c>
      <c r="L39" s="28" t="s">
        <v>48</v>
      </c>
      <c r="M39" s="29" t="s">
        <v>52</v>
      </c>
      <c r="N39" s="29"/>
      <c r="O39" s="30" t="s">
        <v>53</v>
      </c>
      <c r="P39" s="31" t="s">
        <v>61</v>
      </c>
    </row>
    <row r="40" spans="1:16" ht="12.75" customHeight="1" thickBot="1">
      <c r="A40" s="19" t="str">
        <f t="shared" si="0"/>
        <v>IBVS 1115 </v>
      </c>
      <c r="B40" s="6" t="str">
        <f t="shared" si="1"/>
        <v>I</v>
      </c>
      <c r="C40" s="19">
        <f t="shared" si="2"/>
        <v>41599.332999999999</v>
      </c>
      <c r="D40" s="18" t="str">
        <f t="shared" si="3"/>
        <v>vis</v>
      </c>
      <c r="E40" s="27">
        <f>VLOOKUP(C40,Active!C$21:E$973,3,FALSE)</f>
        <v>3024.9999108721086</v>
      </c>
      <c r="F40" s="6" t="s">
        <v>46</v>
      </c>
      <c r="G40" s="18" t="str">
        <f t="shared" si="4"/>
        <v>41599.333</v>
      </c>
      <c r="H40" s="19">
        <f t="shared" si="5"/>
        <v>3025</v>
      </c>
      <c r="I40" s="28" t="s">
        <v>130</v>
      </c>
      <c r="J40" s="29" t="s">
        <v>131</v>
      </c>
      <c r="K40" s="28">
        <v>3025</v>
      </c>
      <c r="L40" s="28" t="s">
        <v>132</v>
      </c>
      <c r="M40" s="29" t="s">
        <v>52</v>
      </c>
      <c r="N40" s="29"/>
      <c r="O40" s="30" t="s">
        <v>53</v>
      </c>
      <c r="P40" s="31" t="s">
        <v>61</v>
      </c>
    </row>
    <row r="41" spans="1:16" ht="12.75" customHeight="1" thickBot="1">
      <c r="A41" s="19" t="str">
        <f t="shared" si="0"/>
        <v> MHAR 21.11 </v>
      </c>
      <c r="B41" s="6" t="str">
        <f t="shared" si="1"/>
        <v>I</v>
      </c>
      <c r="C41" s="19">
        <f t="shared" si="2"/>
        <v>41600.459000000003</v>
      </c>
      <c r="D41" s="18" t="str">
        <f t="shared" si="3"/>
        <v>vis</v>
      </c>
      <c r="E41" s="27">
        <f>VLOOKUP(C41,Active!C$21:E$973,3,FALSE)</f>
        <v>3025.7433034915562</v>
      </c>
      <c r="F41" s="6" t="s">
        <v>46</v>
      </c>
      <c r="G41" s="18" t="str">
        <f t="shared" si="4"/>
        <v>41600.459</v>
      </c>
      <c r="H41" s="19">
        <f t="shared" si="5"/>
        <v>3026</v>
      </c>
      <c r="I41" s="28" t="s">
        <v>133</v>
      </c>
      <c r="J41" s="29" t="s">
        <v>134</v>
      </c>
      <c r="K41" s="28">
        <v>3026</v>
      </c>
      <c r="L41" s="28" t="s">
        <v>135</v>
      </c>
      <c r="M41" s="29" t="s">
        <v>52</v>
      </c>
      <c r="N41" s="29"/>
      <c r="O41" s="30" t="s">
        <v>53</v>
      </c>
      <c r="P41" s="30" t="s">
        <v>54</v>
      </c>
    </row>
    <row r="42" spans="1:16" ht="12.75" customHeight="1" thickBot="1">
      <c r="A42" s="19" t="str">
        <f t="shared" si="0"/>
        <v> MHAR 21.11 </v>
      </c>
      <c r="B42" s="6" t="str">
        <f t="shared" si="1"/>
        <v>I</v>
      </c>
      <c r="C42" s="19">
        <f t="shared" si="2"/>
        <v>41679.292999999998</v>
      </c>
      <c r="D42" s="18" t="str">
        <f t="shared" si="3"/>
        <v>vis</v>
      </c>
      <c r="E42" s="27">
        <f>VLOOKUP(C42,Active!C$21:E$973,3,FALSE)</f>
        <v>3077.7900297449455</v>
      </c>
      <c r="F42" s="6" t="s">
        <v>46</v>
      </c>
      <c r="G42" s="18" t="str">
        <f t="shared" si="4"/>
        <v>41679.293</v>
      </c>
      <c r="H42" s="19">
        <f t="shared" si="5"/>
        <v>3078</v>
      </c>
      <c r="I42" s="28" t="s">
        <v>136</v>
      </c>
      <c r="J42" s="29" t="s">
        <v>137</v>
      </c>
      <c r="K42" s="28">
        <v>3078</v>
      </c>
      <c r="L42" s="28" t="s">
        <v>138</v>
      </c>
      <c r="M42" s="29" t="s">
        <v>52</v>
      </c>
      <c r="N42" s="29"/>
      <c r="O42" s="30" t="s">
        <v>53</v>
      </c>
      <c r="P42" s="30" t="s">
        <v>54</v>
      </c>
    </row>
    <row r="43" spans="1:16" ht="12.75" customHeight="1" thickBot="1">
      <c r="A43" s="19" t="str">
        <f t="shared" si="0"/>
        <v>IBVS 1115 </v>
      </c>
      <c r="B43" s="6" t="str">
        <f t="shared" si="1"/>
        <v>I</v>
      </c>
      <c r="C43" s="19">
        <f t="shared" si="2"/>
        <v>41958.307999999997</v>
      </c>
      <c r="D43" s="18" t="str">
        <f t="shared" si="3"/>
        <v>vis</v>
      </c>
      <c r="E43" s="27">
        <f>VLOOKUP(C43,Active!C$21:E$973,3,FALSE)</f>
        <v>3261.997571231997</v>
      </c>
      <c r="F43" s="6" t="s">
        <v>46</v>
      </c>
      <c r="G43" s="18" t="str">
        <f t="shared" si="4"/>
        <v>41958.308</v>
      </c>
      <c r="H43" s="19">
        <f t="shared" si="5"/>
        <v>3262</v>
      </c>
      <c r="I43" s="28" t="s">
        <v>139</v>
      </c>
      <c r="J43" s="29" t="s">
        <v>140</v>
      </c>
      <c r="K43" s="28">
        <v>3262</v>
      </c>
      <c r="L43" s="28" t="s">
        <v>141</v>
      </c>
      <c r="M43" s="29" t="s">
        <v>52</v>
      </c>
      <c r="N43" s="29"/>
      <c r="O43" s="30" t="s">
        <v>53</v>
      </c>
      <c r="P43" s="31" t="s">
        <v>61</v>
      </c>
    </row>
    <row r="44" spans="1:16" ht="12.75" customHeight="1" thickBot="1">
      <c r="A44" s="19" t="str">
        <f t="shared" si="0"/>
        <v> MHAR 21.11 </v>
      </c>
      <c r="B44" s="6" t="str">
        <f t="shared" si="1"/>
        <v>I</v>
      </c>
      <c r="C44" s="19">
        <f t="shared" si="2"/>
        <v>41961.46</v>
      </c>
      <c r="D44" s="18" t="str">
        <f t="shared" si="3"/>
        <v>vis</v>
      </c>
      <c r="E44" s="27">
        <f>VLOOKUP(C44,Active!C$21:E$973,3,FALSE)</f>
        <v>3264.0785424011724</v>
      </c>
      <c r="F44" s="6" t="s">
        <v>46</v>
      </c>
      <c r="G44" s="18" t="str">
        <f t="shared" si="4"/>
        <v>41961.460</v>
      </c>
      <c r="H44" s="19">
        <f t="shared" si="5"/>
        <v>3264</v>
      </c>
      <c r="I44" s="28" t="s">
        <v>142</v>
      </c>
      <c r="J44" s="29" t="s">
        <v>143</v>
      </c>
      <c r="K44" s="28">
        <v>3264</v>
      </c>
      <c r="L44" s="28" t="s">
        <v>144</v>
      </c>
      <c r="M44" s="29" t="s">
        <v>52</v>
      </c>
      <c r="N44" s="29"/>
      <c r="O44" s="30" t="s">
        <v>53</v>
      </c>
      <c r="P44" s="30" t="s">
        <v>54</v>
      </c>
    </row>
    <row r="45" spans="1:16" ht="12.75" customHeight="1" thickBot="1">
      <c r="A45" s="19" t="str">
        <f t="shared" si="0"/>
        <v> MHAR 21.11 </v>
      </c>
      <c r="B45" s="6" t="str">
        <f t="shared" si="1"/>
        <v>I</v>
      </c>
      <c r="C45" s="19">
        <f t="shared" si="2"/>
        <v>41984.445</v>
      </c>
      <c r="D45" s="18" t="str">
        <f t="shared" si="3"/>
        <v>vis</v>
      </c>
      <c r="E45" s="27">
        <f>VLOOKUP(C45,Active!C$21:E$973,3,FALSE)</f>
        <v>3279.2533908540513</v>
      </c>
      <c r="F45" s="6" t="s">
        <v>46</v>
      </c>
      <c r="G45" s="18" t="str">
        <f t="shared" si="4"/>
        <v>41984.445</v>
      </c>
      <c r="H45" s="19">
        <f t="shared" si="5"/>
        <v>3279</v>
      </c>
      <c r="I45" s="28" t="s">
        <v>145</v>
      </c>
      <c r="J45" s="29" t="s">
        <v>146</v>
      </c>
      <c r="K45" s="28">
        <v>3279</v>
      </c>
      <c r="L45" s="28" t="s">
        <v>147</v>
      </c>
      <c r="M45" s="29" t="s">
        <v>52</v>
      </c>
      <c r="N45" s="29"/>
      <c r="O45" s="30" t="s">
        <v>53</v>
      </c>
      <c r="P45" s="30" t="s">
        <v>54</v>
      </c>
    </row>
    <row r="46" spans="1:16" ht="12.75" customHeight="1" thickBot="1">
      <c r="A46" s="19" t="str">
        <f t="shared" si="0"/>
        <v>IBVS 1115 </v>
      </c>
      <c r="B46" s="6" t="str">
        <f t="shared" si="1"/>
        <v>I</v>
      </c>
      <c r="C46" s="19">
        <f t="shared" si="2"/>
        <v>42036.31</v>
      </c>
      <c r="D46" s="18" t="str">
        <f t="shared" si="3"/>
        <v>vis</v>
      </c>
      <c r="E46" s="27">
        <f>VLOOKUP(C46,Active!C$21:E$973,3,FALSE)</f>
        <v>3313.4950056031707</v>
      </c>
      <c r="F46" s="6" t="s">
        <v>46</v>
      </c>
      <c r="G46" s="18" t="str">
        <f t="shared" si="4"/>
        <v>42036.310</v>
      </c>
      <c r="H46" s="19">
        <f t="shared" si="5"/>
        <v>3313</v>
      </c>
      <c r="I46" s="28" t="s">
        <v>148</v>
      </c>
      <c r="J46" s="29" t="s">
        <v>149</v>
      </c>
      <c r="K46" s="28">
        <v>3313</v>
      </c>
      <c r="L46" s="28" t="s">
        <v>150</v>
      </c>
      <c r="M46" s="29" t="s">
        <v>52</v>
      </c>
      <c r="N46" s="29"/>
      <c r="O46" s="30" t="s">
        <v>53</v>
      </c>
      <c r="P46" s="31" t="s">
        <v>61</v>
      </c>
    </row>
    <row r="47" spans="1:16" ht="12.75" customHeight="1" thickBot="1">
      <c r="A47" s="19" t="str">
        <f t="shared" si="0"/>
        <v> MHAR 21.11 </v>
      </c>
      <c r="B47" s="6" t="str">
        <f t="shared" si="1"/>
        <v>I</v>
      </c>
      <c r="C47" s="19">
        <f t="shared" si="2"/>
        <v>42358.351999999999</v>
      </c>
      <c r="D47" s="18" t="str">
        <f t="shared" si="3"/>
        <v>vis</v>
      </c>
      <c r="E47" s="27">
        <f>VLOOKUP(C47,Active!C$21:E$973,3,FALSE)</f>
        <v>3526.1092560039501</v>
      </c>
      <c r="F47" s="6" t="s">
        <v>46</v>
      </c>
      <c r="G47" s="18" t="str">
        <f t="shared" si="4"/>
        <v>42358.352</v>
      </c>
      <c r="H47" s="19">
        <f t="shared" si="5"/>
        <v>3526</v>
      </c>
      <c r="I47" s="28" t="s">
        <v>151</v>
      </c>
      <c r="J47" s="29" t="s">
        <v>152</v>
      </c>
      <c r="K47" s="28">
        <v>3526</v>
      </c>
      <c r="L47" s="28" t="s">
        <v>153</v>
      </c>
      <c r="M47" s="29" t="s">
        <v>52</v>
      </c>
      <c r="N47" s="29"/>
      <c r="O47" s="30" t="s">
        <v>53</v>
      </c>
      <c r="P47" s="30" t="s">
        <v>54</v>
      </c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</sheetData>
  <phoneticPr fontId="7" type="noConversion"/>
  <hyperlinks>
    <hyperlink ref="P11" r:id="rId1" display="http://www.konkoly.hu/cgi-bin/IBVS?1115" xr:uid="{00000000-0004-0000-0100-000000000000}"/>
    <hyperlink ref="P17" r:id="rId2" display="http://www.konkoly.hu/cgi-bin/IBVS?1115" xr:uid="{00000000-0004-0000-0100-000001000000}"/>
    <hyperlink ref="P25" r:id="rId3" display="http://www.konkoly.hu/cgi-bin/IBVS?1115" xr:uid="{00000000-0004-0000-0100-000002000000}"/>
    <hyperlink ref="P27" r:id="rId4" display="http://www.konkoly.hu/cgi-bin/IBVS?1115" xr:uid="{00000000-0004-0000-0100-000003000000}"/>
    <hyperlink ref="P30" r:id="rId5" display="http://www.konkoly.hu/cgi-bin/IBVS?1115" xr:uid="{00000000-0004-0000-0100-000004000000}"/>
    <hyperlink ref="P39" r:id="rId6" display="http://www.konkoly.hu/cgi-bin/IBVS?1115" xr:uid="{00000000-0004-0000-0100-000005000000}"/>
    <hyperlink ref="P40" r:id="rId7" display="http://www.konkoly.hu/cgi-bin/IBVS?1115" xr:uid="{00000000-0004-0000-0100-000006000000}"/>
    <hyperlink ref="P43" r:id="rId8" display="http://www.konkoly.hu/cgi-bin/IBVS?1115" xr:uid="{00000000-0004-0000-0100-000007000000}"/>
    <hyperlink ref="P46" r:id="rId9" display="http://www.konkoly.hu/cgi-bin/IBVS?1115" xr:uid="{00000000-0004-0000-0100-00000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2024-01-23T03:48:22Z</dcterms:modified>
</cp:coreProperties>
</file>