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CEFF6EA-D94C-409E-9EA4-305C51E98C3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3" i="1" l="1"/>
  <c r="D9" i="1"/>
  <c r="C9" i="1"/>
  <c r="Q31" i="1"/>
  <c r="Q29" i="1"/>
  <c r="Q28" i="1"/>
  <c r="Q27" i="1"/>
  <c r="Q26" i="1"/>
  <c r="Q25" i="1"/>
  <c r="Q24" i="1"/>
  <c r="Q22" i="1"/>
  <c r="Q21" i="1"/>
  <c r="G22" i="2"/>
  <c r="C22" i="2"/>
  <c r="G12" i="2"/>
  <c r="C12" i="2"/>
  <c r="G21" i="2"/>
  <c r="C21" i="2"/>
  <c r="G11" i="2"/>
  <c r="C1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22" i="2"/>
  <c r="D22" i="2"/>
  <c r="B22" i="2"/>
  <c r="A22" i="2"/>
  <c r="H12" i="2"/>
  <c r="B12" i="2"/>
  <c r="D12" i="2"/>
  <c r="A12" i="2"/>
  <c r="H21" i="2"/>
  <c r="D21" i="2"/>
  <c r="B21" i="2"/>
  <c r="A21" i="2"/>
  <c r="H11" i="2"/>
  <c r="B11" i="2"/>
  <c r="D11" i="2"/>
  <c r="A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Q32" i="1"/>
  <c r="Q35" i="1"/>
  <c r="F16" i="1"/>
  <c r="C17" i="1"/>
  <c r="Q34" i="1"/>
  <c r="Q30" i="1"/>
  <c r="C7" i="1"/>
  <c r="C8" i="1"/>
  <c r="Q23" i="1"/>
  <c r="E20" i="2"/>
  <c r="E30" i="1"/>
  <c r="F30" i="1"/>
  <c r="G30" i="1"/>
  <c r="J30" i="1"/>
  <c r="E31" i="1"/>
  <c r="E21" i="1"/>
  <c r="F21" i="1"/>
  <c r="G21" i="1"/>
  <c r="H21" i="1"/>
  <c r="E27" i="1"/>
  <c r="F27" i="1"/>
  <c r="G27" i="1"/>
  <c r="I27" i="1"/>
  <c r="E25" i="1"/>
  <c r="F25" i="1"/>
  <c r="G25" i="1"/>
  <c r="J25" i="1"/>
  <c r="E35" i="1"/>
  <c r="F35" i="1"/>
  <c r="G35" i="1"/>
  <c r="K35" i="1"/>
  <c r="E24" i="1"/>
  <c r="F24" i="1"/>
  <c r="G24" i="1"/>
  <c r="J24" i="1"/>
  <c r="E23" i="1"/>
  <c r="F23" i="1"/>
  <c r="G23" i="1"/>
  <c r="H23" i="1"/>
  <c r="E29" i="1"/>
  <c r="F29" i="1"/>
  <c r="G29" i="1"/>
  <c r="I29" i="1"/>
  <c r="E34" i="1"/>
  <c r="F34" i="1"/>
  <c r="G34" i="1"/>
  <c r="K34" i="1"/>
  <c r="G33" i="1"/>
  <c r="K33" i="1"/>
  <c r="G28" i="1"/>
  <c r="I28" i="1"/>
  <c r="E26" i="1"/>
  <c r="E33" i="1"/>
  <c r="F33" i="1"/>
  <c r="E22" i="1"/>
  <c r="E32" i="1"/>
  <c r="F32" i="1"/>
  <c r="G32" i="1"/>
  <c r="J32" i="1"/>
  <c r="E28" i="1"/>
  <c r="F28" i="1"/>
  <c r="E15" i="2"/>
  <c r="E19" i="2"/>
  <c r="E22" i="2"/>
  <c r="E13" i="2"/>
  <c r="E11" i="2"/>
  <c r="E18" i="2"/>
  <c r="F22" i="1"/>
  <c r="G22" i="1"/>
  <c r="E14" i="2"/>
  <c r="E21" i="2"/>
  <c r="F31" i="1"/>
  <c r="G31" i="1"/>
  <c r="K31" i="1"/>
  <c r="F26" i="1"/>
  <c r="G26" i="1"/>
  <c r="I26" i="1"/>
  <c r="E17" i="2"/>
  <c r="E16" i="2"/>
  <c r="E12" i="2"/>
  <c r="H22" i="1"/>
  <c r="C11" i="1"/>
  <c r="C12" i="1"/>
  <c r="C16" i="1" l="1"/>
  <c r="D18" i="1" s="1"/>
  <c r="O26" i="1"/>
  <c r="O35" i="1"/>
  <c r="O23" i="1"/>
  <c r="O31" i="1"/>
  <c r="O32" i="1"/>
  <c r="O24" i="1"/>
  <c r="O33" i="1"/>
  <c r="O21" i="1"/>
  <c r="O22" i="1"/>
  <c r="O30" i="1"/>
  <c r="O27" i="1"/>
  <c r="O28" i="1"/>
  <c r="O34" i="1"/>
  <c r="C15" i="1"/>
  <c r="O25" i="1"/>
  <c r="O29" i="1"/>
  <c r="F17" i="1"/>
  <c r="C18" i="1" l="1"/>
  <c r="F18" i="1"/>
  <c r="F19" i="1" s="1"/>
</calcChain>
</file>

<file path=xl/sharedStrings.xml><?xml version="1.0" encoding="utf-8"?>
<sst xmlns="http://schemas.openxmlformats.org/spreadsheetml/2006/main" count="187" uniqueCount="118">
  <si>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</si>
  <si>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</si>
  <si>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</si>
  <si>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</si>
  <si>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</si>
  <si>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</si>
  <si>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</si>
  <si>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</si>
  <si>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</si>
  <si>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</si>
  <si>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</si>
  <si>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</si>
  <si>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</si>
  <si>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</si>
  <si>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</si>
  <si>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</si>
  <si>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</si>
  <si>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</si>
  <si>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</si>
  <si>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</si>
  <si>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</si>
  <si>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</si>
  <si>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</si>
  <si>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</si>
  <si>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</si>
  <si>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</si>
  <si>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</si>
  <si>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</si>
  <si>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</si>
  <si>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Bull.118</t>
  </si>
  <si>
    <t>B</t>
  </si>
  <si>
    <t>II</t>
  </si>
  <si>
    <t># of data points:</t>
  </si>
  <si>
    <t>EA/DM</t>
  </si>
  <si>
    <t>SY Cep / GSC 04267-01540</t>
  </si>
  <si>
    <t>OEJV 0107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</si>
  <si>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</si>
  <si>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</si>
  <si>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</si>
  <si>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</si>
  <si>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</si>
  <si>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</si>
  <si>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</si>
  <si>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</si>
  <si>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</si>
  <si>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0130</t>
  </si>
  <si>
    <t>IBVS 5918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</si>
  <si>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</si>
  <si>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</si>
  <si>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</si>
  <si>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</si>
  <si>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</si>
  <si>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</si>
  <si>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</si>
  <si>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</si>
  <si>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</si>
  <si>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</si>
  <si>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</si>
  <si>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</si>
  <si>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2444044.86 </t>
  </si>
  <si>
    <t> 20.06.1979 08:38 </t>
  </si>
  <si>
    <t> -0.05 </t>
  </si>
  <si>
    <t> V.I.Kardopolov </t>
  </si>
  <si>
    <t> AC 1158.4 </t>
  </si>
  <si>
    <t>2444103.28 </t>
  </si>
  <si>
    <t> 17.08.1979 18:43 </t>
  </si>
  <si>
    <t>P </t>
  </si>
  <si>
    <t>2444462.3017 </t>
  </si>
  <si>
    <t> 10.08.1980 19:14 </t>
  </si>
  <si>
    <t> 0.1152 </t>
  </si>
  <si>
    <t>E </t>
  </si>
  <si>
    <t>?</t>
  </si>
  <si>
    <t> Kardolopov et al. </t>
  </si>
  <si>
    <t> PZ 22.303 </t>
  </si>
  <si>
    <t>2444508.2129 </t>
  </si>
  <si>
    <t> 25.09.1980 17:06 </t>
  </si>
  <si>
    <t> 0.1262 </t>
  </si>
  <si>
    <t>2447471.441 </t>
  </si>
  <si>
    <t> 05.11.1988 22:35 </t>
  </si>
  <si>
    <t> 0.702 </t>
  </si>
  <si>
    <t>V </t>
  </si>
  <si>
    <t> O.Beck </t>
  </si>
  <si>
    <t> BRNO 30 </t>
  </si>
  <si>
    <t>2447471.446 </t>
  </si>
  <si>
    <t> 05.11.1988 22:42 </t>
  </si>
  <si>
    <t> 0.707 </t>
  </si>
  <si>
    <t> A.Dedoch </t>
  </si>
  <si>
    <t>2447471.447 </t>
  </si>
  <si>
    <t> 05.11.1988 22:43 </t>
  </si>
  <si>
    <t> 0.708 </t>
  </si>
  <si>
    <t> J.Manek </t>
  </si>
  <si>
    <t>2447471.457 </t>
  </si>
  <si>
    <t> 05.11.1988 22:58 </t>
  </si>
  <si>
    <t> 0.718 </t>
  </si>
  <si>
    <t> V.Wagner </t>
  </si>
  <si>
    <t>2451056.5252 </t>
  </si>
  <si>
    <t> 31.08.1998 00:36 </t>
  </si>
  <si>
    <t> 1.3937 </t>
  </si>
  <si>
    <t> R.Diethelm </t>
  </si>
  <si>
    <t> BBS 118 </t>
  </si>
  <si>
    <t>2452112.4321 </t>
  </si>
  <si>
    <t> 21.07.2001 22:22 </t>
  </si>
  <si>
    <t> 1.5949 </t>
  </si>
  <si>
    <t> BBS 126 </t>
  </si>
  <si>
    <t>2454925.4103 </t>
  </si>
  <si>
    <t> 03.04.2009 21:50 </t>
  </si>
  <si>
    <t> 2.1396 </t>
  </si>
  <si>
    <t>C </t>
  </si>
  <si>
    <t>-I</t>
  </si>
  <si>
    <t> F.Agerer </t>
  </si>
  <si>
    <t>BAVM 209 </t>
  </si>
  <si>
    <t>2454950.4502 </t>
  </si>
  <si>
    <t> 28.04.2009 22:48 </t>
  </si>
  <si>
    <t>1299.5</t>
  </si>
  <si>
    <t> 2.1430 </t>
  </si>
  <si>
    <t>R</t>
  </si>
  <si>
    <t> H.Kucáková </t>
  </si>
  <si>
    <t>OEJV 0107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</si>
</sst>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3" borderId="0" xfId="0" applyFont="1" applyFill="1" applyAlignment="1"/>
    <xf numFmtId="0" fontId="17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Cep - O-C Diagr.</a:t>
            </a:r>
          </a:p>
        </c:rich>
      </c:tx>
      <c:layout>
        <c:manualLayout>
          <c:xMode val="edge"/>
          <c:yMode val="edge"/>
          <c:x val="0.342975640441638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809925234380280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-5.1500000001396984E-2</c:v>
                </c:pt>
                <c:pt idx="1">
                  <c:v>-5.0000000002910383E-2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72-4B10-BABE-D8B6ADB735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0.70175000000017462</c:v>
                </c:pt>
                <c:pt idx="6">
                  <c:v>0.70675000000483124</c:v>
                </c:pt>
                <c:pt idx="7">
                  <c:v>0.70775000000139698</c:v>
                </c:pt>
                <c:pt idx="8">
                  <c:v>0.71775000000343425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72-4B10-BABE-D8B6ADB735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">
                  <c:v>0.11520000000018626</c:v>
                </c:pt>
                <c:pt idx="4">
                  <c:v>0.12614999999641441</c:v>
                </c:pt>
                <c:pt idx="9">
                  <c:v>1.3936999999932596</c:v>
                </c:pt>
                <c:pt idx="11">
                  <c:v>2.1395499999998719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72-4B10-BABE-D8B6ADB735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0">
                  <c:v>1.5948499999940395</c:v>
                </c:pt>
                <c:pt idx="12">
                  <c:v>2.1429500000012922</c:v>
                </c:pt>
                <c:pt idx="13">
                  <c:v>2.1430000000036671</c:v>
                </c:pt>
                <c:pt idx="14">
                  <c:v>2.2364999999990687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72-4B10-BABE-D8B6ADB735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72-4B10-BABE-D8B6ADB735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72-4B10-BABE-D8B6ADB735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72-4B10-BABE-D8B6ADB735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</c:v>
                </c:pt>
                <c:pt idx="1">
                  <c:v>0</c:v>
                </c:pt>
                <c:pt idx="2">
                  <c:v>0</c:v>
                </c:pt>
                <c:pt idx="3">
                  <c:v>43</c:v>
                </c:pt>
                <c:pt idx="4">
                  <c:v>48.5</c:v>
                </c:pt>
                <c:pt idx="5">
                  <c:v>403.5</c:v>
                </c:pt>
                <c:pt idx="6">
                  <c:v>403.5</c:v>
                </c:pt>
                <c:pt idx="7">
                  <c:v>403.5</c:v>
                </c:pt>
                <c:pt idx="8">
                  <c:v>403.5</c:v>
                </c:pt>
                <c:pt idx="9">
                  <c:v>833</c:v>
                </c:pt>
                <c:pt idx="10">
                  <c:v>959.5</c:v>
                </c:pt>
                <c:pt idx="11">
                  <c:v>1296.5</c:v>
                </c:pt>
                <c:pt idx="12">
                  <c:v>1299.5</c:v>
                </c:pt>
                <c:pt idx="13">
                  <c:v>1299.5</c:v>
                </c:pt>
                <c:pt idx="14">
                  <c:v>1357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1.4696884563169794E-2</c:v>
                </c:pt>
                <c:pt idx="1">
                  <c:v>2.6144136110072935E-2</c:v>
                </c:pt>
                <c:pt idx="2">
                  <c:v>2.6144136110072935E-2</c:v>
                </c:pt>
                <c:pt idx="3">
                  <c:v>9.6462967041049383E-2</c:v>
                </c:pt>
                <c:pt idx="4">
                  <c:v>0.10545723611361613</c:v>
                </c:pt>
                <c:pt idx="5">
                  <c:v>0.68599642170656117</c:v>
                </c:pt>
                <c:pt idx="6">
                  <c:v>0.68599642170656117</c:v>
                </c:pt>
                <c:pt idx="7">
                  <c:v>0.68599642170656117</c:v>
                </c:pt>
                <c:pt idx="8">
                  <c:v>0.68599642170656117</c:v>
                </c:pt>
                <c:pt idx="9">
                  <c:v>1.3883670701915467</c:v>
                </c:pt>
                <c:pt idx="10">
                  <c:v>1.595235258860582</c:v>
                </c:pt>
                <c:pt idx="11">
                  <c:v>2.1463386547614904</c:v>
                </c:pt>
                <c:pt idx="12">
                  <c:v>2.1512446197101633</c:v>
                </c:pt>
                <c:pt idx="13">
                  <c:v>2.1512446197101633</c:v>
                </c:pt>
                <c:pt idx="14">
                  <c:v>2.2452756145597248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72-4B10-BABE-D8B6ADB73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61944"/>
        <c:axId val="1"/>
      </c:scatterChart>
      <c:valAx>
        <c:axId val="911661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661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9010433613153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0</xdr:rowOff>
    </xdr:from>
    <xdr:to>
      <xdr:col>18</xdr:col>
      <xdr:colOff>104774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376069-06AB-3DB5-FD08-67097A9E1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24</v>
      </c>
      <c r="B2" s="10" t="s">
        <v>33</v>
      </c>
    </row>
    <row r="4" spans="1:6" ht="14.25" thickTop="1" thickBot="1">
      <c r="A4" s="7" t="s">
        <v>0</v>
      </c>
      <c r="C4" s="3">
        <v>44103.33</v>
      </c>
      <c r="D4" s="4">
        <v>8.3454999999999995</v>
      </c>
    </row>
    <row r="5" spans="1:6" ht="13.5" thickTop="1">
      <c r="A5" s="14" t="s">
        <v>37</v>
      </c>
      <c r="B5" s="15"/>
      <c r="C5" s="16">
        <v>-9.5</v>
      </c>
      <c r="D5" s="15" t="s">
        <v>38</v>
      </c>
    </row>
    <row r="6" spans="1:6">
      <c r="A6" s="7" t="s">
        <v>1</v>
      </c>
    </row>
    <row r="7" spans="1:6">
      <c r="A7" t="s">
        <v>2</v>
      </c>
      <c r="C7">
        <f>+C4</f>
        <v>44103.33</v>
      </c>
    </row>
    <row r="8" spans="1:6">
      <c r="A8" t="s">
        <v>3</v>
      </c>
      <c r="C8">
        <f>+D4</f>
        <v>8.3454999999999995</v>
      </c>
    </row>
    <row r="9" spans="1:6">
      <c r="A9" s="29" t="s">
        <v>42</v>
      </c>
      <c r="B9" s="30">
        <v>22</v>
      </c>
      <c r="C9" s="18" t="str">
        <f>"F"&amp;B9</f>
        <v>F22</v>
      </c>
      <c r="D9" s="19" t="str">
        <f>"G"&amp;B9</f>
        <v>G22</v>
      </c>
    </row>
    <row r="10" spans="1:6" ht="13.5" thickBot="1">
      <c r="A10" s="15"/>
      <c r="B10" s="15"/>
      <c r="C10" s="6" t="s">
        <v>20</v>
      </c>
      <c r="D10" s="6" t="s">
        <v>21</v>
      </c>
      <c r="E10" s="15"/>
    </row>
    <row r="11" spans="1:6">
      <c r="A11" s="15" t="s">
        <v>16</v>
      </c>
      <c r="B11" s="15"/>
      <c r="C11" s="17">
        <f ca="1">INTERCEPT(INDIRECT($D$9):G992,INDIRECT($C$9):F992)</f>
        <v>2.6144136110072935E-2</v>
      </c>
      <c r="D11" s="5"/>
      <c r="E11" s="15"/>
    </row>
    <row r="12" spans="1:6">
      <c r="A12" s="15" t="s">
        <v>17</v>
      </c>
      <c r="B12" s="15"/>
      <c r="C12" s="17">
        <f ca="1">SLOPE(INDIRECT($D$9):G992,INDIRECT($C$9):F992)</f>
        <v>1.6353216495575917E-3</v>
      </c>
      <c r="D12" s="5"/>
      <c r="E12" s="15"/>
    </row>
    <row r="13" spans="1:6">
      <c r="A13" s="15" t="s">
        <v>19</v>
      </c>
      <c r="B13" s="15"/>
      <c r="C13" s="5" t="s">
        <v>14</v>
      </c>
    </row>
    <row r="14" spans="1:6">
      <c r="A14" s="15"/>
      <c r="B14" s="15"/>
      <c r="C14" s="15"/>
    </row>
    <row r="15" spans="1:6">
      <c r="A15" s="20" t="s">
        <v>18</v>
      </c>
      <c r="B15" s="15"/>
      <c r="C15" s="21">
        <f ca="1">(C7+C11)+(C8+C12)*INT(MAX(F21:F3533))</f>
        <v>55430.418775614555</v>
      </c>
      <c r="E15" s="22" t="s">
        <v>43</v>
      </c>
      <c r="F15" s="16">
        <v>1</v>
      </c>
    </row>
    <row r="16" spans="1:6">
      <c r="A16" s="24" t="s">
        <v>4</v>
      </c>
      <c r="B16" s="15"/>
      <c r="C16" s="25">
        <f ca="1">+C8+C12</f>
        <v>8.3471353216495565</v>
      </c>
      <c r="E16" s="22" t="s">
        <v>39</v>
      </c>
      <c r="F16" s="23">
        <f ca="1">NOW()+15018.5+$C$5/24</f>
        <v>60332.702093402775</v>
      </c>
    </row>
    <row r="17" spans="1:31" ht="13.5" thickBot="1">
      <c r="A17" s="22" t="s">
        <v>32</v>
      </c>
      <c r="B17" s="15"/>
      <c r="C17" s="15">
        <f>COUNT(C21:C2191)</f>
        <v>15</v>
      </c>
      <c r="E17" s="22" t="s">
        <v>44</v>
      </c>
      <c r="F17" s="23">
        <f ca="1">ROUND(2*(F16-$C$7)/$C$8,0)/2+F15</f>
        <v>1945.5</v>
      </c>
    </row>
    <row r="18" spans="1:31" ht="14.25" thickTop="1" thickBot="1">
      <c r="A18" s="24" t="s">
        <v>5</v>
      </c>
      <c r="B18" s="15"/>
      <c r="C18" s="27">
        <f ca="1">+C15</f>
        <v>55430.418775614555</v>
      </c>
      <c r="D18" s="28">
        <f ca="1">+C16</f>
        <v>8.3471353216495565</v>
      </c>
      <c r="E18" s="22" t="s">
        <v>40</v>
      </c>
      <c r="F18" s="19">
        <f ca="1">ROUND(2*(F16-$C$15)/$C$16,0)/2+F15</f>
        <v>588.5</v>
      </c>
    </row>
    <row r="19" spans="1:31" ht="13.5" thickTop="1">
      <c r="E19" s="22" t="s">
        <v>41</v>
      </c>
      <c r="F19" s="26">
        <f ca="1">+$C$15+$C$16*F18-15018.5-$C$5/24</f>
        <v>45324.603745738656</v>
      </c>
    </row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54</v>
      </c>
      <c r="I20" s="9" t="s">
        <v>57</v>
      </c>
      <c r="J20" s="9" t="s">
        <v>51</v>
      </c>
      <c r="K20" s="9" t="s">
        <v>49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1">
      <c r="A21" s="51" t="s">
        <v>63</v>
      </c>
      <c r="B21" s="52" t="s">
        <v>36</v>
      </c>
      <c r="C21" s="51">
        <v>44044.86</v>
      </c>
      <c r="D21" s="51" t="s">
        <v>57</v>
      </c>
      <c r="E21">
        <f t="shared" ref="E21:E35" si="0">+(C21-C$7)/C$8</f>
        <v>-7.0061709903542226</v>
      </c>
      <c r="F21">
        <f t="shared" ref="F21:F31" si="1">ROUND(2*E21,0)/2</f>
        <v>-7</v>
      </c>
      <c r="G21">
        <f t="shared" ref="G21:G35" si="2">+C21-(C$7+F21*C$8)</f>
        <v>-5.1500000001396984E-2</v>
      </c>
      <c r="H21">
        <f>+G21</f>
        <v>-5.1500000001396984E-2</v>
      </c>
      <c r="O21">
        <f t="shared" ref="O21:O35" ca="1" si="3">+C$11+C$12*F21</f>
        <v>1.4696884563169794E-2</v>
      </c>
      <c r="Q21" s="2">
        <f t="shared" ref="Q21:Q35" si="4">+C21-15018.5</f>
        <v>29026.36</v>
      </c>
    </row>
    <row r="22" spans="1:31">
      <c r="A22" s="51" t="s">
        <v>63</v>
      </c>
      <c r="B22" s="52" t="s">
        <v>36</v>
      </c>
      <c r="C22" s="51">
        <v>44103.28</v>
      </c>
      <c r="D22" s="51" t="s">
        <v>57</v>
      </c>
      <c r="E22">
        <f t="shared" si="0"/>
        <v>-5.9912527713031436E-3</v>
      </c>
      <c r="F22">
        <f t="shared" si="1"/>
        <v>0</v>
      </c>
      <c r="G22">
        <f t="shared" si="2"/>
        <v>-5.0000000002910383E-2</v>
      </c>
      <c r="H22">
        <f>+G22</f>
        <v>-5.0000000002910383E-2</v>
      </c>
      <c r="O22">
        <f t="shared" ca="1" si="3"/>
        <v>2.6144136110072935E-2</v>
      </c>
      <c r="Q22" s="2">
        <f t="shared" si="4"/>
        <v>29084.78</v>
      </c>
    </row>
    <row r="23" spans="1:31">
      <c r="A23" t="s">
        <v>12</v>
      </c>
      <c r="B23" s="5"/>
      <c r="C23" s="36">
        <v>44103.33</v>
      </c>
      <c r="D23" s="36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2.6144136110072935E-2</v>
      </c>
      <c r="Q23" s="2">
        <f t="shared" si="4"/>
        <v>29084.83</v>
      </c>
    </row>
    <row r="24" spans="1:31">
      <c r="A24" s="51" t="s">
        <v>73</v>
      </c>
      <c r="B24" s="52" t="s">
        <v>36</v>
      </c>
      <c r="C24" s="51">
        <v>44462.301700000004</v>
      </c>
      <c r="D24" s="51" t="s">
        <v>57</v>
      </c>
      <c r="E24">
        <f t="shared" si="0"/>
        <v>43.013803846384505</v>
      </c>
      <c r="F24">
        <f t="shared" si="1"/>
        <v>43</v>
      </c>
      <c r="G24">
        <f t="shared" si="2"/>
        <v>0.11520000000018626</v>
      </c>
      <c r="J24">
        <f>+G24</f>
        <v>0.11520000000018626</v>
      </c>
      <c r="O24">
        <f t="shared" ca="1" si="3"/>
        <v>9.6462967041049383E-2</v>
      </c>
      <c r="Q24" s="2">
        <f t="shared" si="4"/>
        <v>29443.801700000004</v>
      </c>
    </row>
    <row r="25" spans="1:31">
      <c r="A25" s="51" t="s">
        <v>73</v>
      </c>
      <c r="B25" s="52" t="s">
        <v>31</v>
      </c>
      <c r="C25" s="51">
        <v>44508.212899999999</v>
      </c>
      <c r="D25" s="51" t="s">
        <v>57</v>
      </c>
      <c r="E25">
        <f t="shared" si="0"/>
        <v>48.515115930740748</v>
      </c>
      <c r="F25">
        <f t="shared" si="1"/>
        <v>48.5</v>
      </c>
      <c r="G25">
        <f t="shared" si="2"/>
        <v>0.12614999999641441</v>
      </c>
      <c r="J25">
        <f>+G25</f>
        <v>0.12614999999641441</v>
      </c>
      <c r="O25">
        <f t="shared" ca="1" si="3"/>
        <v>0.10545723611361613</v>
      </c>
      <c r="Q25" s="2">
        <f t="shared" si="4"/>
        <v>29489.712899999999</v>
      </c>
    </row>
    <row r="26" spans="1:31">
      <c r="A26" s="51" t="s">
        <v>82</v>
      </c>
      <c r="B26" s="52" t="s">
        <v>31</v>
      </c>
      <c r="C26" s="51">
        <v>47471.440999999999</v>
      </c>
      <c r="D26" s="51" t="s">
        <v>57</v>
      </c>
      <c r="E26">
        <f t="shared" si="0"/>
        <v>403.58408723264</v>
      </c>
      <c r="F26">
        <f t="shared" si="1"/>
        <v>403.5</v>
      </c>
      <c r="G26">
        <f t="shared" si="2"/>
        <v>0.70175000000017462</v>
      </c>
      <c r="I26">
        <f>+G26</f>
        <v>0.70175000000017462</v>
      </c>
      <c r="O26">
        <f t="shared" ca="1" si="3"/>
        <v>0.68599642170656117</v>
      </c>
      <c r="Q26" s="2">
        <f t="shared" si="4"/>
        <v>32452.940999999999</v>
      </c>
    </row>
    <row r="27" spans="1:31">
      <c r="A27" s="51" t="s">
        <v>82</v>
      </c>
      <c r="B27" s="52" t="s">
        <v>31</v>
      </c>
      <c r="C27" s="51">
        <v>47471.446000000004</v>
      </c>
      <c r="D27" s="51" t="s">
        <v>57</v>
      </c>
      <c r="E27">
        <f t="shared" si="0"/>
        <v>403.58468635791769</v>
      </c>
      <c r="F27">
        <f t="shared" si="1"/>
        <v>403.5</v>
      </c>
      <c r="G27">
        <f t="shared" si="2"/>
        <v>0.70675000000483124</v>
      </c>
      <c r="I27">
        <f>+G27</f>
        <v>0.70675000000483124</v>
      </c>
      <c r="O27">
        <f t="shared" ca="1" si="3"/>
        <v>0.68599642170656117</v>
      </c>
      <c r="Q27" s="2">
        <f t="shared" si="4"/>
        <v>32452.946000000004</v>
      </c>
    </row>
    <row r="28" spans="1:31">
      <c r="A28" s="51" t="s">
        <v>82</v>
      </c>
      <c r="B28" s="52" t="s">
        <v>31</v>
      </c>
      <c r="C28" s="51">
        <v>47471.447</v>
      </c>
      <c r="D28" s="51" t="s">
        <v>57</v>
      </c>
      <c r="E28">
        <f t="shared" si="0"/>
        <v>403.58480618297267</v>
      </c>
      <c r="F28">
        <f t="shared" si="1"/>
        <v>403.5</v>
      </c>
      <c r="G28">
        <f t="shared" si="2"/>
        <v>0.70775000000139698</v>
      </c>
      <c r="I28">
        <f>+G28</f>
        <v>0.70775000000139698</v>
      </c>
      <c r="O28">
        <f t="shared" ca="1" si="3"/>
        <v>0.68599642170656117</v>
      </c>
      <c r="Q28" s="2">
        <f t="shared" si="4"/>
        <v>32452.947</v>
      </c>
    </row>
    <row r="29" spans="1:31">
      <c r="A29" s="51" t="s">
        <v>82</v>
      </c>
      <c r="B29" s="52" t="s">
        <v>31</v>
      </c>
      <c r="C29" s="51">
        <v>47471.457000000002</v>
      </c>
      <c r="D29" s="51" t="s">
        <v>57</v>
      </c>
      <c r="E29">
        <f t="shared" si="0"/>
        <v>403.58600443352714</v>
      </c>
      <c r="F29">
        <f t="shared" si="1"/>
        <v>403.5</v>
      </c>
      <c r="G29">
        <f t="shared" si="2"/>
        <v>0.71775000000343425</v>
      </c>
      <c r="I29">
        <f>+G29</f>
        <v>0.71775000000343425</v>
      </c>
      <c r="O29">
        <f t="shared" ca="1" si="3"/>
        <v>0.68599642170656117</v>
      </c>
      <c r="Q29" s="2">
        <f t="shared" si="4"/>
        <v>32452.957000000002</v>
      </c>
    </row>
    <row r="30" spans="1:31">
      <c r="A30" t="s">
        <v>29</v>
      </c>
      <c r="B30" s="5" t="s">
        <v>31</v>
      </c>
      <c r="C30" s="37">
        <v>51056.525199999996</v>
      </c>
      <c r="D30" s="36">
        <v>4.0000000000000002E-4</v>
      </c>
      <c r="E30">
        <f t="shared" si="0"/>
        <v>833.16700017973699</v>
      </c>
      <c r="F30">
        <f t="shared" si="1"/>
        <v>833</v>
      </c>
      <c r="G30">
        <f t="shared" si="2"/>
        <v>1.3936999999932596</v>
      </c>
      <c r="J30">
        <f>+G30</f>
        <v>1.3936999999932596</v>
      </c>
      <c r="O30">
        <f t="shared" ca="1" si="3"/>
        <v>1.3883670701915467</v>
      </c>
      <c r="Q30" s="2">
        <f t="shared" si="4"/>
        <v>36038.025199999996</v>
      </c>
      <c r="AA30">
        <v>19</v>
      </c>
      <c r="AC30" t="s">
        <v>28</v>
      </c>
      <c r="AE30" t="s">
        <v>30</v>
      </c>
    </row>
    <row r="31" spans="1:31">
      <c r="A31" s="51" t="s">
        <v>103</v>
      </c>
      <c r="B31" s="52" t="s">
        <v>31</v>
      </c>
      <c r="C31" s="51">
        <v>52112.432099999998</v>
      </c>
      <c r="D31" s="51" t="s">
        <v>57</v>
      </c>
      <c r="E31">
        <f t="shared" si="0"/>
        <v>959.69110298963471</v>
      </c>
      <c r="F31">
        <f t="shared" si="1"/>
        <v>959.5</v>
      </c>
      <c r="G31">
        <f t="shared" si="2"/>
        <v>1.5948499999940395</v>
      </c>
      <c r="K31">
        <f>+G31</f>
        <v>1.5948499999940395</v>
      </c>
      <c r="O31">
        <f t="shared" ca="1" si="3"/>
        <v>1.595235258860582</v>
      </c>
      <c r="Q31" s="2">
        <f t="shared" si="4"/>
        <v>37093.932099999998</v>
      </c>
    </row>
    <row r="32" spans="1:31">
      <c r="A32" s="34" t="s">
        <v>46</v>
      </c>
      <c r="B32" s="35" t="s">
        <v>36</v>
      </c>
      <c r="C32" s="34">
        <v>54925.410300000003</v>
      </c>
      <c r="D32" s="54">
        <v>2.9999999999999997E-4</v>
      </c>
      <c r="E32">
        <f t="shared" si="0"/>
        <v>1296.7563716973223</v>
      </c>
      <c r="F32" s="53">
        <f>ROUND(2*E32,0)/2-0.5</f>
        <v>1296.5</v>
      </c>
      <c r="G32">
        <f t="shared" si="2"/>
        <v>2.1395499999998719</v>
      </c>
      <c r="J32">
        <f>+G32</f>
        <v>2.1395499999998719</v>
      </c>
      <c r="O32">
        <f t="shared" ca="1" si="3"/>
        <v>2.1463386547614904</v>
      </c>
      <c r="Q32" s="2">
        <f t="shared" si="4"/>
        <v>39906.910300000003</v>
      </c>
    </row>
    <row r="33" spans="1:17">
      <c r="A33" s="51" t="s">
        <v>117</v>
      </c>
      <c r="B33" s="52" t="s">
        <v>31</v>
      </c>
      <c r="C33" s="51">
        <v>54950.450199999999</v>
      </c>
      <c r="D33" s="51" t="s">
        <v>57</v>
      </c>
      <c r="E33">
        <f t="shared" si="0"/>
        <v>1299.7567791025101</v>
      </c>
      <c r="F33" s="53">
        <f>ROUND(2*E33,0)/2-0.5</f>
        <v>1299.5</v>
      </c>
      <c r="G33">
        <f t="shared" si="2"/>
        <v>2.1429500000012922</v>
      </c>
      <c r="K33">
        <f>+G33</f>
        <v>2.1429500000012922</v>
      </c>
      <c r="O33">
        <f t="shared" ca="1" si="3"/>
        <v>2.1512446197101633</v>
      </c>
      <c r="Q33" s="2">
        <f t="shared" si="4"/>
        <v>39931.950199999999</v>
      </c>
    </row>
    <row r="34" spans="1:17">
      <c r="A34" s="11" t="s">
        <v>35</v>
      </c>
      <c r="B34" s="12" t="s">
        <v>36</v>
      </c>
      <c r="C34" s="13">
        <v>54950.450250000002</v>
      </c>
      <c r="D34" s="13">
        <v>2.9999999999999997E-4</v>
      </c>
      <c r="E34">
        <f t="shared" si="0"/>
        <v>1299.7567850937633</v>
      </c>
      <c r="F34" s="53">
        <f>ROUND(2*E34,0)/2-0.5</f>
        <v>1299.5</v>
      </c>
      <c r="G34">
        <f t="shared" si="2"/>
        <v>2.1430000000036671</v>
      </c>
      <c r="K34">
        <f>+G34</f>
        <v>2.1430000000036671</v>
      </c>
      <c r="O34">
        <f t="shared" ca="1" si="3"/>
        <v>2.1512446197101633</v>
      </c>
      <c r="Q34" s="2">
        <f t="shared" si="4"/>
        <v>39931.950250000002</v>
      </c>
    </row>
    <row r="35" spans="1:17">
      <c r="A35" s="31" t="s">
        <v>45</v>
      </c>
      <c r="B35" s="32" t="s">
        <v>31</v>
      </c>
      <c r="C35" s="33">
        <v>55430.41</v>
      </c>
      <c r="D35" s="33">
        <v>3.0000000000000001E-3</v>
      </c>
      <c r="E35">
        <f t="shared" si="0"/>
        <v>1357.267988736445</v>
      </c>
      <c r="F35" s="53">
        <f>ROUND(2*E35,0)/2-0.5</f>
        <v>1357</v>
      </c>
      <c r="G35">
        <f t="shared" si="2"/>
        <v>2.2364999999990687</v>
      </c>
      <c r="K35">
        <f>+G35</f>
        <v>2.2364999999990687</v>
      </c>
      <c r="O35">
        <f t="shared" ca="1" si="3"/>
        <v>2.2452756145597248</v>
      </c>
      <c r="Q35" s="2">
        <f t="shared" si="4"/>
        <v>40411.910000000003</v>
      </c>
    </row>
    <row r="36" spans="1:17">
      <c r="B36" s="5"/>
      <c r="D36" s="5"/>
    </row>
    <row r="37" spans="1:17">
      <c r="B37" s="5"/>
      <c r="D37" s="5"/>
    </row>
    <row r="38" spans="1:17">
      <c r="B38" s="5"/>
      <c r="D38" s="5"/>
    </row>
    <row r="39" spans="1:17">
      <c r="B39" s="5"/>
      <c r="D39" s="5"/>
    </row>
    <row r="40" spans="1:17">
      <c r="B40" s="5"/>
      <c r="D40" s="5"/>
    </row>
    <row r="41" spans="1:17">
      <c r="B41" s="5"/>
      <c r="D41" s="5"/>
    </row>
    <row r="42" spans="1:17">
      <c r="B42" s="5"/>
      <c r="D42" s="5"/>
    </row>
    <row r="43" spans="1:17">
      <c r="B43" s="5"/>
      <c r="D43" s="5"/>
    </row>
    <row r="44" spans="1:17">
      <c r="D44" s="5"/>
    </row>
    <row r="45" spans="1:17">
      <c r="D45" s="5"/>
    </row>
    <row r="46" spans="1:17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3"/>
  <sheetViews>
    <sheetView workbookViewId="0">
      <selection activeCell="A13" sqref="A13:D22"/>
    </sheetView>
  </sheetViews>
  <sheetFormatPr defaultRowHeight="12.75"/>
  <cols>
    <col min="1" max="1" width="19.7109375" style="36" customWidth="1"/>
    <col min="2" max="2" width="4.42578125" style="15" customWidth="1"/>
    <col min="3" max="3" width="12.7109375" style="36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36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38" t="s">
        <v>47</v>
      </c>
      <c r="I1" s="39" t="s">
        <v>48</v>
      </c>
      <c r="J1" s="40" t="s">
        <v>49</v>
      </c>
    </row>
    <row r="2" spans="1:16">
      <c r="I2" s="41" t="s">
        <v>50</v>
      </c>
      <c r="J2" s="42" t="s">
        <v>51</v>
      </c>
    </row>
    <row r="3" spans="1:16">
      <c r="A3" s="43" t="s">
        <v>52</v>
      </c>
      <c r="I3" s="41" t="s">
        <v>53</v>
      </c>
      <c r="J3" s="42" t="s">
        <v>54</v>
      </c>
    </row>
    <row r="4" spans="1:16">
      <c r="I4" s="41" t="s">
        <v>55</v>
      </c>
      <c r="J4" s="42" t="s">
        <v>54</v>
      </c>
    </row>
    <row r="5" spans="1:16" ht="13.5" thickBot="1">
      <c r="I5" s="44" t="s">
        <v>56</v>
      </c>
      <c r="J5" s="45" t="s">
        <v>57</v>
      </c>
    </row>
    <row r="10" spans="1:16" ht="13.5" thickBot="1"/>
    <row r="11" spans="1:16" ht="12.75" customHeight="1" thickBot="1">
      <c r="A11" s="36" t="str">
        <f t="shared" ref="A11:A22" si="0">P11</f>
        <v> BBS 118 </v>
      </c>
      <c r="B11" s="5" t="str">
        <f t="shared" ref="B11:B22" si="1">IF(H11=INT(H11),"I","II")</f>
        <v>I</v>
      </c>
      <c r="C11" s="36">
        <f t="shared" ref="C11:C22" si="2">1*G11</f>
        <v>51056.525199999996</v>
      </c>
      <c r="D11" s="15" t="str">
        <f t="shared" ref="D11:D22" si="3">VLOOKUP(F11,I$1:J$5,2,FALSE)</f>
        <v>vis</v>
      </c>
      <c r="E11" s="46">
        <f>VLOOKUP(C11,Active!C$21:E$973,3,FALSE)</f>
        <v>833.16700017973699</v>
      </c>
      <c r="F11" s="5" t="s">
        <v>56</v>
      </c>
      <c r="G11" s="15" t="str">
        <f t="shared" ref="G11:G22" si="4">MID(I11,3,LEN(I11)-3)</f>
        <v>51056.5252</v>
      </c>
      <c r="H11" s="36">
        <f t="shared" ref="H11:H22" si="5">1*K11</f>
        <v>833</v>
      </c>
      <c r="I11" s="47" t="s">
        <v>95</v>
      </c>
      <c r="J11" s="48" t="s">
        <v>96</v>
      </c>
      <c r="K11" s="47">
        <v>833</v>
      </c>
      <c r="L11" s="47" t="s">
        <v>97</v>
      </c>
      <c r="M11" s="48" t="s">
        <v>70</v>
      </c>
      <c r="N11" s="48" t="s">
        <v>71</v>
      </c>
      <c r="O11" s="49" t="s">
        <v>98</v>
      </c>
      <c r="P11" s="49" t="s">
        <v>99</v>
      </c>
    </row>
    <row r="12" spans="1:16" ht="12.75" customHeight="1" thickBot="1">
      <c r="A12" s="36" t="str">
        <f t="shared" si="0"/>
        <v>BAVM 209 </v>
      </c>
      <c r="B12" s="5" t="str">
        <f t="shared" si="1"/>
        <v>II</v>
      </c>
      <c r="C12" s="36">
        <f t="shared" si="2"/>
        <v>54925.410300000003</v>
      </c>
      <c r="D12" s="15" t="str">
        <f t="shared" si="3"/>
        <v>vis</v>
      </c>
      <c r="E12" s="46">
        <f>VLOOKUP(C12,Active!C$21:E$973,3,FALSE)</f>
        <v>1296.7563716973223</v>
      </c>
      <c r="F12" s="5" t="s">
        <v>56</v>
      </c>
      <c r="G12" s="15" t="str">
        <f t="shared" si="4"/>
        <v>54925.4103</v>
      </c>
      <c r="H12" s="36">
        <f t="shared" si="5"/>
        <v>1296.5</v>
      </c>
      <c r="I12" s="47" t="s">
        <v>104</v>
      </c>
      <c r="J12" s="48" t="s">
        <v>105</v>
      </c>
      <c r="K12" s="47">
        <v>1296.5</v>
      </c>
      <c r="L12" s="47" t="s">
        <v>106</v>
      </c>
      <c r="M12" s="48" t="s">
        <v>107</v>
      </c>
      <c r="N12" s="48" t="s">
        <v>108</v>
      </c>
      <c r="O12" s="49" t="s">
        <v>109</v>
      </c>
      <c r="P12" s="50" t="s">
        <v>110</v>
      </c>
    </row>
    <row r="13" spans="1:16" ht="12.75" customHeight="1" thickBot="1">
      <c r="A13" s="36" t="str">
        <f t="shared" si="0"/>
        <v> AC 1158.4 </v>
      </c>
      <c r="B13" s="5" t="str">
        <f t="shared" si="1"/>
        <v>I</v>
      </c>
      <c r="C13" s="36">
        <f t="shared" si="2"/>
        <v>44044.86</v>
      </c>
      <c r="D13" s="15" t="str">
        <f t="shared" si="3"/>
        <v>vis</v>
      </c>
      <c r="E13" s="46">
        <f>VLOOKUP(C13,Active!C$21:E$973,3,FALSE)</f>
        <v>-7.0061709903542226</v>
      </c>
      <c r="F13" s="5" t="s">
        <v>56</v>
      </c>
      <c r="G13" s="15" t="str">
        <f t="shared" si="4"/>
        <v>44044.86</v>
      </c>
      <c r="H13" s="36">
        <f t="shared" si="5"/>
        <v>-7</v>
      </c>
      <c r="I13" s="47" t="s">
        <v>59</v>
      </c>
      <c r="J13" s="48" t="s">
        <v>60</v>
      </c>
      <c r="K13" s="47">
        <v>-7</v>
      </c>
      <c r="L13" s="47" t="s">
        <v>61</v>
      </c>
      <c r="M13" s="48" t="s">
        <v>58</v>
      </c>
      <c r="N13" s="48"/>
      <c r="O13" s="49" t="s">
        <v>62</v>
      </c>
      <c r="P13" s="49" t="s">
        <v>63</v>
      </c>
    </row>
    <row r="14" spans="1:16" ht="12.75" customHeight="1" thickBot="1">
      <c r="A14" s="36" t="str">
        <f t="shared" si="0"/>
        <v> AC 1158.4 </v>
      </c>
      <c r="B14" s="5" t="str">
        <f t="shared" si="1"/>
        <v>I</v>
      </c>
      <c r="C14" s="36">
        <f t="shared" si="2"/>
        <v>44103.28</v>
      </c>
      <c r="D14" s="15" t="str">
        <f t="shared" si="3"/>
        <v>vis</v>
      </c>
      <c r="E14" s="46">
        <f>VLOOKUP(C14,Active!C$21:E$973,3,FALSE)</f>
        <v>-5.9912527713031436E-3</v>
      </c>
      <c r="F14" s="5" t="s">
        <v>56</v>
      </c>
      <c r="G14" s="15" t="str">
        <f t="shared" si="4"/>
        <v>44103.28</v>
      </c>
      <c r="H14" s="36">
        <f t="shared" si="5"/>
        <v>0</v>
      </c>
      <c r="I14" s="47" t="s">
        <v>64</v>
      </c>
      <c r="J14" s="48" t="s">
        <v>65</v>
      </c>
      <c r="K14" s="47">
        <v>0</v>
      </c>
      <c r="L14" s="47" t="s">
        <v>61</v>
      </c>
      <c r="M14" s="48" t="s">
        <v>66</v>
      </c>
      <c r="N14" s="48"/>
      <c r="O14" s="49" t="s">
        <v>62</v>
      </c>
      <c r="P14" s="49" t="s">
        <v>63</v>
      </c>
    </row>
    <row r="15" spans="1:16" ht="12.75" customHeight="1" thickBot="1">
      <c r="A15" s="36" t="str">
        <f t="shared" si="0"/>
        <v> PZ 22.303 </v>
      </c>
      <c r="B15" s="5" t="str">
        <f t="shared" si="1"/>
        <v>I</v>
      </c>
      <c r="C15" s="36">
        <f t="shared" si="2"/>
        <v>44462.301700000004</v>
      </c>
      <c r="D15" s="15" t="str">
        <f t="shared" si="3"/>
        <v>vis</v>
      </c>
      <c r="E15" s="46">
        <f>VLOOKUP(C15,Active!C$21:E$973,3,FALSE)</f>
        <v>43.013803846384505</v>
      </c>
      <c r="F15" s="5" t="s">
        <v>56</v>
      </c>
      <c r="G15" s="15" t="str">
        <f t="shared" si="4"/>
        <v>44462.3017</v>
      </c>
      <c r="H15" s="36">
        <f t="shared" si="5"/>
        <v>43</v>
      </c>
      <c r="I15" s="47" t="s">
        <v>67</v>
      </c>
      <c r="J15" s="48" t="s">
        <v>68</v>
      </c>
      <c r="K15" s="47">
        <v>43</v>
      </c>
      <c r="L15" s="47" t="s">
        <v>69</v>
      </c>
      <c r="M15" s="48" t="s">
        <v>70</v>
      </c>
      <c r="N15" s="48" t="s">
        <v>71</v>
      </c>
      <c r="O15" s="49" t="s">
        <v>72</v>
      </c>
      <c r="P15" s="49" t="s">
        <v>73</v>
      </c>
    </row>
    <row r="16" spans="1:16" ht="12.75" customHeight="1" thickBot="1">
      <c r="A16" s="36" t="str">
        <f t="shared" si="0"/>
        <v> PZ 22.303 </v>
      </c>
      <c r="B16" s="5" t="str">
        <f t="shared" si="1"/>
        <v>II</v>
      </c>
      <c r="C16" s="36">
        <f t="shared" si="2"/>
        <v>44508.212899999999</v>
      </c>
      <c r="D16" s="15" t="str">
        <f t="shared" si="3"/>
        <v>vis</v>
      </c>
      <c r="E16" s="46">
        <f>VLOOKUP(C16,Active!C$21:E$973,3,FALSE)</f>
        <v>48.515115930740748</v>
      </c>
      <c r="F16" s="5" t="s">
        <v>56</v>
      </c>
      <c r="G16" s="15" t="str">
        <f t="shared" si="4"/>
        <v>44508.2129</v>
      </c>
      <c r="H16" s="36">
        <f t="shared" si="5"/>
        <v>48.5</v>
      </c>
      <c r="I16" s="47" t="s">
        <v>74</v>
      </c>
      <c r="J16" s="48" t="s">
        <v>75</v>
      </c>
      <c r="K16" s="47">
        <v>48.5</v>
      </c>
      <c r="L16" s="47" t="s">
        <v>76</v>
      </c>
      <c r="M16" s="48" t="s">
        <v>70</v>
      </c>
      <c r="N16" s="48" t="s">
        <v>71</v>
      </c>
      <c r="O16" s="49" t="s">
        <v>72</v>
      </c>
      <c r="P16" s="49" t="s">
        <v>73</v>
      </c>
    </row>
    <row r="17" spans="1:16" ht="12.75" customHeight="1" thickBot="1">
      <c r="A17" s="36" t="str">
        <f t="shared" si="0"/>
        <v> BRNO 30 </v>
      </c>
      <c r="B17" s="5" t="str">
        <f t="shared" si="1"/>
        <v>II</v>
      </c>
      <c r="C17" s="36">
        <f t="shared" si="2"/>
        <v>47471.440999999999</v>
      </c>
      <c r="D17" s="15" t="str">
        <f t="shared" si="3"/>
        <v>vis</v>
      </c>
      <c r="E17" s="46">
        <f>VLOOKUP(C17,Active!C$21:E$973,3,FALSE)</f>
        <v>403.58408723264</v>
      </c>
      <c r="F17" s="5" t="s">
        <v>56</v>
      </c>
      <c r="G17" s="15" t="str">
        <f t="shared" si="4"/>
        <v>47471.441</v>
      </c>
      <c r="H17" s="36">
        <f t="shared" si="5"/>
        <v>403.5</v>
      </c>
      <c r="I17" s="47" t="s">
        <v>77</v>
      </c>
      <c r="J17" s="48" t="s">
        <v>78</v>
      </c>
      <c r="K17" s="47">
        <v>403.5</v>
      </c>
      <c r="L17" s="47" t="s">
        <v>79</v>
      </c>
      <c r="M17" s="48" t="s">
        <v>80</v>
      </c>
      <c r="N17" s="48"/>
      <c r="O17" s="49" t="s">
        <v>81</v>
      </c>
      <c r="P17" s="49" t="s">
        <v>82</v>
      </c>
    </row>
    <row r="18" spans="1:16" ht="12.75" customHeight="1" thickBot="1">
      <c r="A18" s="36" t="str">
        <f t="shared" si="0"/>
        <v> BRNO 30 </v>
      </c>
      <c r="B18" s="5" t="str">
        <f t="shared" si="1"/>
        <v>II</v>
      </c>
      <c r="C18" s="36">
        <f t="shared" si="2"/>
        <v>47471.446000000004</v>
      </c>
      <c r="D18" s="15" t="str">
        <f t="shared" si="3"/>
        <v>vis</v>
      </c>
      <c r="E18" s="46">
        <f>VLOOKUP(C18,Active!C$21:E$973,3,FALSE)</f>
        <v>403.58468635791769</v>
      </c>
      <c r="F18" s="5" t="s">
        <v>56</v>
      </c>
      <c r="G18" s="15" t="str">
        <f t="shared" si="4"/>
        <v>47471.446</v>
      </c>
      <c r="H18" s="36">
        <f t="shared" si="5"/>
        <v>403.5</v>
      </c>
      <c r="I18" s="47" t="s">
        <v>83</v>
      </c>
      <c r="J18" s="48" t="s">
        <v>84</v>
      </c>
      <c r="K18" s="47">
        <v>403.5</v>
      </c>
      <c r="L18" s="47" t="s">
        <v>85</v>
      </c>
      <c r="M18" s="48" t="s">
        <v>80</v>
      </c>
      <c r="N18" s="48"/>
      <c r="O18" s="49" t="s">
        <v>86</v>
      </c>
      <c r="P18" s="49" t="s">
        <v>82</v>
      </c>
    </row>
    <row r="19" spans="1:16" ht="12.75" customHeight="1" thickBot="1">
      <c r="A19" s="36" t="str">
        <f t="shared" si="0"/>
        <v> BRNO 30 </v>
      </c>
      <c r="B19" s="5" t="str">
        <f t="shared" si="1"/>
        <v>II</v>
      </c>
      <c r="C19" s="36">
        <f t="shared" si="2"/>
        <v>47471.447</v>
      </c>
      <c r="D19" s="15" t="str">
        <f t="shared" si="3"/>
        <v>vis</v>
      </c>
      <c r="E19" s="46">
        <f>VLOOKUP(C19,Active!C$21:E$973,3,FALSE)</f>
        <v>403.58480618297267</v>
      </c>
      <c r="F19" s="5" t="s">
        <v>56</v>
      </c>
      <c r="G19" s="15" t="str">
        <f t="shared" si="4"/>
        <v>47471.447</v>
      </c>
      <c r="H19" s="36">
        <f t="shared" si="5"/>
        <v>403.5</v>
      </c>
      <c r="I19" s="47" t="s">
        <v>87</v>
      </c>
      <c r="J19" s="48" t="s">
        <v>88</v>
      </c>
      <c r="K19" s="47">
        <v>403.5</v>
      </c>
      <c r="L19" s="47" t="s">
        <v>89</v>
      </c>
      <c r="M19" s="48" t="s">
        <v>80</v>
      </c>
      <c r="N19" s="48"/>
      <c r="O19" s="49" t="s">
        <v>90</v>
      </c>
      <c r="P19" s="49" t="s">
        <v>82</v>
      </c>
    </row>
    <row r="20" spans="1:16" ht="12.75" customHeight="1" thickBot="1">
      <c r="A20" s="36" t="str">
        <f t="shared" si="0"/>
        <v> BRNO 30 </v>
      </c>
      <c r="B20" s="5" t="str">
        <f t="shared" si="1"/>
        <v>II</v>
      </c>
      <c r="C20" s="36">
        <f t="shared" si="2"/>
        <v>47471.457000000002</v>
      </c>
      <c r="D20" s="15" t="str">
        <f t="shared" si="3"/>
        <v>vis</v>
      </c>
      <c r="E20" s="46">
        <f>VLOOKUP(C20,Active!C$21:E$973,3,FALSE)</f>
        <v>403.58600443352714</v>
      </c>
      <c r="F20" s="5" t="s">
        <v>56</v>
      </c>
      <c r="G20" s="15" t="str">
        <f t="shared" si="4"/>
        <v>47471.457</v>
      </c>
      <c r="H20" s="36">
        <f t="shared" si="5"/>
        <v>403.5</v>
      </c>
      <c r="I20" s="47" t="s">
        <v>91</v>
      </c>
      <c r="J20" s="48" t="s">
        <v>92</v>
      </c>
      <c r="K20" s="47">
        <v>403.5</v>
      </c>
      <c r="L20" s="47" t="s">
        <v>93</v>
      </c>
      <c r="M20" s="48" t="s">
        <v>80</v>
      </c>
      <c r="N20" s="48"/>
      <c r="O20" s="49" t="s">
        <v>94</v>
      </c>
      <c r="P20" s="49" t="s">
        <v>82</v>
      </c>
    </row>
    <row r="21" spans="1:16" ht="12.75" customHeight="1" thickBot="1">
      <c r="A21" s="36" t="str">
        <f t="shared" si="0"/>
        <v> BBS 126 </v>
      </c>
      <c r="B21" s="5" t="str">
        <f t="shared" si="1"/>
        <v>II</v>
      </c>
      <c r="C21" s="36">
        <f t="shared" si="2"/>
        <v>52112.432099999998</v>
      </c>
      <c r="D21" s="15" t="str">
        <f t="shared" si="3"/>
        <v>vis</v>
      </c>
      <c r="E21" s="46">
        <f>VLOOKUP(C21,Active!C$21:E$973,3,FALSE)</f>
        <v>959.69110298963471</v>
      </c>
      <c r="F21" s="5" t="s">
        <v>56</v>
      </c>
      <c r="G21" s="15" t="str">
        <f t="shared" si="4"/>
        <v>52112.4321</v>
      </c>
      <c r="H21" s="36">
        <f t="shared" si="5"/>
        <v>959.5</v>
      </c>
      <c r="I21" s="47" t="s">
        <v>100</v>
      </c>
      <c r="J21" s="48" t="s">
        <v>101</v>
      </c>
      <c r="K21" s="47">
        <v>959.5</v>
      </c>
      <c r="L21" s="47" t="s">
        <v>102</v>
      </c>
      <c r="M21" s="48" t="s">
        <v>70</v>
      </c>
      <c r="N21" s="48" t="s">
        <v>71</v>
      </c>
      <c r="O21" s="49" t="s">
        <v>98</v>
      </c>
      <c r="P21" s="49" t="s">
        <v>103</v>
      </c>
    </row>
    <row r="22" spans="1:16" ht="12.75" customHeight="1" thickBot="1">
      <c r="A22" s="36" t="str">
        <f t="shared" si="0"/>
        <v>OEJV 0107 </v>
      </c>
      <c r="B22" s="5" t="str">
        <f t="shared" si="1"/>
        <v>II</v>
      </c>
      <c r="C22" s="36">
        <f t="shared" si="2"/>
        <v>54950.450199999999</v>
      </c>
      <c r="D22" s="15" t="str">
        <f t="shared" si="3"/>
        <v>vis</v>
      </c>
      <c r="E22" s="46">
        <f>VLOOKUP(C22,Active!C$21:E$973,3,FALSE)</f>
        <v>1299.7567791025101</v>
      </c>
      <c r="F22" s="5" t="s">
        <v>56</v>
      </c>
      <c r="G22" s="15" t="str">
        <f t="shared" si="4"/>
        <v>54950.4502</v>
      </c>
      <c r="H22" s="36">
        <f t="shared" si="5"/>
        <v>1299.5</v>
      </c>
      <c r="I22" s="47" t="s">
        <v>111</v>
      </c>
      <c r="J22" s="48" t="s">
        <v>112</v>
      </c>
      <c r="K22" s="47" t="s">
        <v>113</v>
      </c>
      <c r="L22" s="47" t="s">
        <v>114</v>
      </c>
      <c r="M22" s="48" t="s">
        <v>107</v>
      </c>
      <c r="N22" s="48" t="s">
        <v>115</v>
      </c>
      <c r="O22" s="49" t="s">
        <v>116</v>
      </c>
      <c r="P22" s="50" t="s">
        <v>117</v>
      </c>
    </row>
    <row r="23" spans="1:16">
      <c r="B23" s="5"/>
      <c r="F23" s="5"/>
    </row>
    <row r="24" spans="1:16">
      <c r="B24" s="5"/>
      <c r="F24" s="5"/>
    </row>
    <row r="25" spans="1:16">
      <c r="B25" s="5"/>
      <c r="F25" s="5"/>
    </row>
    <row r="26" spans="1:16">
      <c r="B26" s="5"/>
      <c r="F26" s="5"/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</sheetData>
  <phoneticPr fontId="7" type="noConversion"/>
  <hyperlinks>
    <hyperlink ref="P12" r:id="rId1" display="http://www.bav-astro.de/sfs/BAVM_link.php?BAVMnr=209"/>
    <hyperlink ref="P22" r:id="rId2" display="http://var.astro.cz/oejv/issues/oejv010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2024-01-23T03:51:00Z</dcterms:modified>
</cp:coreProperties>
</file>