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3D12501-716F-450E-93BF-8327978FF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Q75" i="1"/>
  <c r="Q74" i="1"/>
  <c r="Q73" i="1"/>
  <c r="Q65" i="1"/>
  <c r="D9" i="1"/>
  <c r="C9" i="1"/>
  <c r="Q64" i="1"/>
  <c r="Q6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62" i="2"/>
  <c r="C62" i="2"/>
  <c r="G61" i="2"/>
  <c r="C61" i="2"/>
  <c r="G60" i="2"/>
  <c r="C60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59" i="2"/>
  <c r="C59" i="2"/>
  <c r="G11" i="2"/>
  <c r="C11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62" i="2"/>
  <c r="B62" i="2"/>
  <c r="D62" i="2"/>
  <c r="A62" i="2"/>
  <c r="H61" i="2"/>
  <c r="B61" i="2"/>
  <c r="D61" i="2"/>
  <c r="A61" i="2"/>
  <c r="H60" i="2"/>
  <c r="B60" i="2"/>
  <c r="D60" i="2"/>
  <c r="A6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9" i="2"/>
  <c r="B59" i="2"/>
  <c r="D59" i="2"/>
  <c r="A59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Q71" i="1"/>
  <c r="Q72" i="1"/>
  <c r="Q70" i="1"/>
  <c r="E75" i="1"/>
  <c r="F75" i="1"/>
  <c r="G75" i="1" s="1"/>
  <c r="K75" i="1" s="1"/>
  <c r="Q69" i="1"/>
  <c r="Q68" i="1"/>
  <c r="F16" i="1"/>
  <c r="F17" i="1" s="1"/>
  <c r="C17" i="1"/>
  <c r="Q66" i="1"/>
  <c r="Q62" i="1"/>
  <c r="Q67" i="1"/>
  <c r="Q53" i="1"/>
  <c r="Q54" i="1"/>
  <c r="Q55" i="1"/>
  <c r="Q56" i="1"/>
  <c r="Q57" i="1"/>
  <c r="Q58" i="1"/>
  <c r="Q59" i="1"/>
  <c r="Q60" i="1"/>
  <c r="Q61" i="1"/>
  <c r="Q51" i="1"/>
  <c r="E43" i="2"/>
  <c r="E54" i="2"/>
  <c r="E61" i="1"/>
  <c r="F61" i="1"/>
  <c r="E45" i="1"/>
  <c r="E53" i="2" s="1"/>
  <c r="E37" i="1"/>
  <c r="F37" i="1"/>
  <c r="E29" i="1"/>
  <c r="F29" i="1" s="1"/>
  <c r="G29" i="1" s="1"/>
  <c r="I29" i="1" s="1"/>
  <c r="E21" i="1"/>
  <c r="F21" i="1" s="1"/>
  <c r="G21" i="1" s="1"/>
  <c r="I21" i="1" s="1"/>
  <c r="G49" i="1"/>
  <c r="I49" i="1"/>
  <c r="E47" i="1"/>
  <c r="F47" i="1"/>
  <c r="E66" i="1"/>
  <c r="F66" i="1" s="1"/>
  <c r="G66" i="1" s="1"/>
  <c r="H66" i="1" s="1"/>
  <c r="E59" i="1"/>
  <c r="E18" i="2" s="1"/>
  <c r="F59" i="1"/>
  <c r="E54" i="1"/>
  <c r="F54" i="1"/>
  <c r="G54" i="1" s="1"/>
  <c r="I54" i="1" s="1"/>
  <c r="E42" i="1"/>
  <c r="F42" i="1" s="1"/>
  <c r="G42" i="1" s="1"/>
  <c r="I42" i="1" s="1"/>
  <c r="E34" i="1"/>
  <c r="E42" i="2" s="1"/>
  <c r="F34" i="1"/>
  <c r="G34" i="1" s="1"/>
  <c r="I34" i="1" s="1"/>
  <c r="E26" i="1"/>
  <c r="F26" i="1" s="1"/>
  <c r="G26" i="1" s="1"/>
  <c r="I26" i="1" s="1"/>
  <c r="E52" i="1"/>
  <c r="F52" i="1" s="1"/>
  <c r="G52" i="1" s="1"/>
  <c r="I52" i="1" s="1"/>
  <c r="G46" i="1"/>
  <c r="I46" i="1" s="1"/>
  <c r="E71" i="1"/>
  <c r="E27" i="2" s="1"/>
  <c r="E64" i="1"/>
  <c r="F64" i="1"/>
  <c r="G64" i="1" s="1"/>
  <c r="I64" i="1" s="1"/>
  <c r="E39" i="1"/>
  <c r="F39" i="1" s="1"/>
  <c r="G39" i="1" s="1"/>
  <c r="I39" i="1" s="1"/>
  <c r="E31" i="1"/>
  <c r="F31" i="1"/>
  <c r="G31" i="1" s="1"/>
  <c r="I31" i="1" s="1"/>
  <c r="E23" i="1"/>
  <c r="F23" i="1"/>
  <c r="G23" i="1"/>
  <c r="I23" i="1" s="1"/>
  <c r="E49" i="1"/>
  <c r="F49" i="1"/>
  <c r="E68" i="1"/>
  <c r="F68" i="1"/>
  <c r="G68" i="1" s="1"/>
  <c r="J68" i="1" s="1"/>
  <c r="E58" i="1"/>
  <c r="E17" i="2" s="1"/>
  <c r="E60" i="1"/>
  <c r="F60" i="1"/>
  <c r="G60" i="1" s="1"/>
  <c r="I60" i="1" s="1"/>
  <c r="E44" i="1"/>
  <c r="F44" i="1"/>
  <c r="G44" i="1"/>
  <c r="I44" i="1" s="1"/>
  <c r="E36" i="1"/>
  <c r="F36" i="1"/>
  <c r="G36" i="1" s="1"/>
  <c r="I36" i="1" s="1"/>
  <c r="E28" i="1"/>
  <c r="E36" i="2" s="1"/>
  <c r="E46" i="1"/>
  <c r="F46" i="1"/>
  <c r="E73" i="1"/>
  <c r="F73" i="1" s="1"/>
  <c r="G73" i="1" s="1"/>
  <c r="K73" i="1" s="1"/>
  <c r="E53" i="1"/>
  <c r="F53" i="1"/>
  <c r="G53" i="1" s="1"/>
  <c r="I53" i="1" s="1"/>
  <c r="E41" i="1"/>
  <c r="F41" i="1"/>
  <c r="G41" i="1" s="1"/>
  <c r="I41" i="1" s="1"/>
  <c r="E33" i="1"/>
  <c r="E41" i="2" s="1"/>
  <c r="F33" i="1"/>
  <c r="G33" i="1" s="1"/>
  <c r="I33" i="1" s="1"/>
  <c r="E25" i="1"/>
  <c r="F25" i="1"/>
  <c r="G25" i="1"/>
  <c r="I25" i="1" s="1"/>
  <c r="E51" i="1"/>
  <c r="F51" i="1"/>
  <c r="G51" i="1" s="1"/>
  <c r="H51" i="1" s="1"/>
  <c r="E70" i="1"/>
  <c r="F70" i="1"/>
  <c r="G70" i="1" s="1"/>
  <c r="I70" i="1" s="1"/>
  <c r="E62" i="1"/>
  <c r="E21" i="2" s="1"/>
  <c r="E57" i="1"/>
  <c r="F57" i="1"/>
  <c r="E63" i="1"/>
  <c r="F63" i="1"/>
  <c r="U63" i="1"/>
  <c r="E38" i="1"/>
  <c r="F38" i="1" s="1"/>
  <c r="G38" i="1" s="1"/>
  <c r="I38" i="1" s="1"/>
  <c r="E30" i="1"/>
  <c r="F30" i="1" s="1"/>
  <c r="G30" i="1" s="1"/>
  <c r="I30" i="1" s="1"/>
  <c r="E22" i="1"/>
  <c r="F22" i="1"/>
  <c r="G22" i="1"/>
  <c r="I22" i="1" s="1"/>
  <c r="E48" i="1"/>
  <c r="E56" i="2" s="1"/>
  <c r="F48" i="1"/>
  <c r="G48" i="1" s="1"/>
  <c r="I48" i="1" s="1"/>
  <c r="E67" i="1"/>
  <c r="F67" i="1" s="1"/>
  <c r="G67" i="1" s="1"/>
  <c r="K67" i="1" s="1"/>
  <c r="G61" i="1"/>
  <c r="I61" i="1"/>
  <c r="E56" i="1"/>
  <c r="F56" i="1"/>
  <c r="G56" i="1"/>
  <c r="I56" i="1" s="1"/>
  <c r="E43" i="1"/>
  <c r="E51" i="2" s="1"/>
  <c r="F43" i="1"/>
  <c r="G43" i="1" s="1"/>
  <c r="I43" i="1" s="1"/>
  <c r="G37" i="1"/>
  <c r="I37" i="1" s="1"/>
  <c r="E35" i="1"/>
  <c r="F35" i="1" s="1"/>
  <c r="G35" i="1" s="1"/>
  <c r="I35" i="1" s="1"/>
  <c r="E27" i="1"/>
  <c r="F27" i="1"/>
  <c r="G27" i="1"/>
  <c r="I27" i="1" s="1"/>
  <c r="G47" i="1"/>
  <c r="I47" i="1"/>
  <c r="E72" i="1"/>
  <c r="F72" i="1"/>
  <c r="G72" i="1"/>
  <c r="J72" i="1" s="1"/>
  <c r="E55" i="1"/>
  <c r="F55" i="1"/>
  <c r="E65" i="1"/>
  <c r="F65" i="1" s="1"/>
  <c r="G65" i="1" s="1"/>
  <c r="I65" i="1" s="1"/>
  <c r="E40" i="1"/>
  <c r="F40" i="1" s="1"/>
  <c r="G40" i="1" s="1"/>
  <c r="I40" i="1" s="1"/>
  <c r="E32" i="1"/>
  <c r="F32" i="1"/>
  <c r="G32" i="1"/>
  <c r="I32" i="1" s="1"/>
  <c r="E24" i="1"/>
  <c r="E32" i="2" s="1"/>
  <c r="F24" i="1"/>
  <c r="G24" i="1" s="1"/>
  <c r="I24" i="1" s="1"/>
  <c r="E50" i="1"/>
  <c r="F50" i="1" s="1"/>
  <c r="G50" i="1" s="1"/>
  <c r="I50" i="1" s="1"/>
  <c r="E69" i="1"/>
  <c r="F69" i="1"/>
  <c r="G69" i="1" s="1"/>
  <c r="J69" i="1" s="1"/>
  <c r="E74" i="1"/>
  <c r="F74" i="1" s="1"/>
  <c r="G74" i="1" s="1"/>
  <c r="K74" i="1" s="1"/>
  <c r="E31" i="2"/>
  <c r="E30" i="2"/>
  <c r="E29" i="2"/>
  <c r="E35" i="2"/>
  <c r="E13" i="2"/>
  <c r="E44" i="2"/>
  <c r="E50" i="2"/>
  <c r="E37" i="2"/>
  <c r="E20" i="2"/>
  <c r="E57" i="2"/>
  <c r="E38" i="2"/>
  <c r="E26" i="2"/>
  <c r="E25" i="2"/>
  <c r="E24" i="2"/>
  <c r="E14" i="2"/>
  <c r="E33" i="2"/>
  <c r="E19" i="2"/>
  <c r="E61" i="2"/>
  <c r="E60" i="2"/>
  <c r="E58" i="2"/>
  <c r="E39" i="2"/>
  <c r="E59" i="2"/>
  <c r="E16" i="2"/>
  <c r="E15" i="2"/>
  <c r="E45" i="2"/>
  <c r="E34" i="2"/>
  <c r="E28" i="2"/>
  <c r="E11" i="2"/>
  <c r="E52" i="2"/>
  <c r="E40" i="2"/>
  <c r="E22" i="2"/>
  <c r="E49" i="2"/>
  <c r="E48" i="2"/>
  <c r="E47" i="2"/>
  <c r="E46" i="2"/>
  <c r="E23" i="2"/>
  <c r="E12" i="2"/>
  <c r="E55" i="2"/>
  <c r="F62" i="1" l="1"/>
  <c r="F28" i="1"/>
  <c r="G28" i="1" s="1"/>
  <c r="I28" i="1" s="1"/>
  <c r="F58" i="1"/>
  <c r="F71" i="1"/>
  <c r="G71" i="1" s="1"/>
  <c r="J71" i="1" s="1"/>
  <c r="F45" i="1"/>
  <c r="G45" i="1" s="1"/>
  <c r="I45" i="1" s="1"/>
  <c r="E62" i="2"/>
  <c r="C11" i="1"/>
  <c r="C12" i="1"/>
  <c r="C16" i="1" l="1"/>
  <c r="D18" i="1" s="1"/>
  <c r="O70" i="1"/>
  <c r="O29" i="1"/>
  <c r="O34" i="1"/>
  <c r="O47" i="1"/>
  <c r="O24" i="1"/>
  <c r="O54" i="1"/>
  <c r="O36" i="1"/>
  <c r="O60" i="1"/>
  <c r="O23" i="1"/>
  <c r="O53" i="1"/>
  <c r="O22" i="1"/>
  <c r="O31" i="1"/>
  <c r="O27" i="1"/>
  <c r="O73" i="1"/>
  <c r="O32" i="1"/>
  <c r="O28" i="1"/>
  <c r="O75" i="1"/>
  <c r="O42" i="1"/>
  <c r="O72" i="1"/>
  <c r="O62" i="1"/>
  <c r="O58" i="1"/>
  <c r="O33" i="1"/>
  <c r="O56" i="1"/>
  <c r="O50" i="1"/>
  <c r="O49" i="1"/>
  <c r="O67" i="1"/>
  <c r="O45" i="1"/>
  <c r="O74" i="1"/>
  <c r="O52" i="1"/>
  <c r="C15" i="1"/>
  <c r="C18" i="1" s="1"/>
  <c r="O63" i="1"/>
  <c r="O38" i="1"/>
  <c r="O26" i="1"/>
  <c r="O64" i="1"/>
  <c r="O41" i="1"/>
  <c r="O61" i="1"/>
  <c r="O51" i="1"/>
  <c r="O46" i="1"/>
  <c r="O43" i="1"/>
  <c r="O69" i="1"/>
  <c r="O55" i="1"/>
  <c r="O71" i="1"/>
  <c r="O39" i="1"/>
  <c r="O68" i="1"/>
  <c r="O76" i="1"/>
  <c r="O48" i="1"/>
  <c r="O37" i="1"/>
  <c r="O40" i="1"/>
  <c r="O44" i="1"/>
  <c r="O30" i="1"/>
  <c r="O57" i="1"/>
  <c r="O25" i="1"/>
  <c r="O59" i="1"/>
  <c r="O65" i="1"/>
  <c r="O21" i="1"/>
  <c r="O35" i="1"/>
  <c r="O66" i="1"/>
  <c r="F18" i="1" l="1"/>
  <c r="F19" i="1" s="1"/>
</calcChain>
</file>

<file path=xl/sharedStrings.xml><?xml version="1.0" encoding="utf-8"?>
<sst xmlns="http://schemas.openxmlformats.org/spreadsheetml/2006/main" count="595" uniqueCount="282">
  <si>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</si>
  <si>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</si>
  <si>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</si>
  <si>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</si>
  <si>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</si>
  <si>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</si>
  <si>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</si>
  <si>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</si>
  <si>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</si>
  <si>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</si>
  <si>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</si>
  <si>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</si>
  <si>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</si>
  <si>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</si>
  <si>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</si>
  <si>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</si>
  <si>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</si>
  <si>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</si>
  <si>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</si>
  <si>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</si>
  <si>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</si>
  <si>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</si>
  <si>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</si>
  <si>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</si>
  <si>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</si>
  <si>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</si>
  <si>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</si>
  <si>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</si>
  <si>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</si>
  <si>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</si>
  <si>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</si>
  <si>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BAC 41,51</t>
  </si>
  <si>
    <t>K</t>
  </si>
  <si>
    <t>v</t>
  </si>
  <si>
    <t>BRNO 26</t>
  </si>
  <si>
    <t>BAAVSS 60,15</t>
  </si>
  <si>
    <t>Diethelm R</t>
  </si>
  <si>
    <t>BBSAG Bull.72</t>
  </si>
  <si>
    <t>B</t>
  </si>
  <si>
    <t>Paschke A</t>
  </si>
  <si>
    <t>BBSAG Bull.75</t>
  </si>
  <si>
    <t>II</t>
  </si>
  <si>
    <t># of data points:</t>
  </si>
  <si>
    <t>EB/DM</t>
  </si>
  <si>
    <t>XZ Cep / GSC 04276-00999</t>
  </si>
  <si>
    <t>OEJV 0028</t>
  </si>
  <si>
    <t>OEJV 0060</t>
  </si>
  <si>
    <t>vis</t>
  </si>
  <si>
    <t>OEJV 0074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</si>
  <si>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</si>
  <si>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</si>
  <si>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</si>
  <si>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</si>
  <si>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</si>
  <si>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</si>
  <si>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</si>
  <si>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</si>
  <si>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</si>
  <si>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BAD</t>
  </si>
  <si>
    <t>IBVS 6084</t>
  </si>
  <si>
    <t>IBVS 6118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</si>
  <si>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</si>
  <si>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</si>
  <si>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</si>
  <si>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</si>
  <si>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</si>
  <si>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</si>
  <si>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</si>
  <si>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</si>
  <si>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</si>
  <si>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</si>
  <si>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</si>
  <si>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</si>
  <si>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</si>
  <si>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</si>
  <si>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2425029.51 </t>
  </si>
  <si>
    <t> 29.05.1927 00:14 </t>
  </si>
  <si>
    <t> 0.16 </t>
  </si>
  <si>
    <t>P </t>
  </si>
  <si>
    <t> H.Schneller </t>
  </si>
  <si>
    <t> VBB 8.6.46 </t>
  </si>
  <si>
    <t>2425126.35 </t>
  </si>
  <si>
    <t> 02.09.1927 20:24 </t>
  </si>
  <si>
    <t> 0.15 </t>
  </si>
  <si>
    <t>2425131.47 </t>
  </si>
  <si>
    <t> 07.09.1927 23:16 </t>
  </si>
  <si>
    <t> 0.17 </t>
  </si>
  <si>
    <t>2425773.47 </t>
  </si>
  <si>
    <t> 10.06.1929 23:16 </t>
  </si>
  <si>
    <t> -0.08 </t>
  </si>
  <si>
    <t>2425860.18 </t>
  </si>
  <si>
    <t> 05.09.1929 16:19 </t>
  </si>
  <si>
    <t> -0.02 </t>
  </si>
  <si>
    <t>V </t>
  </si>
  <si>
    <t> J.Pagaczewski </t>
  </si>
  <si>
    <t> AAC 1.91 </t>
  </si>
  <si>
    <t>2425862.72 </t>
  </si>
  <si>
    <t> 08.09.1929 05:16 </t>
  </si>
  <si>
    <t> -0.03 </t>
  </si>
  <si>
    <t>2425865.27 </t>
  </si>
  <si>
    <t> 10.09.1929 18:28 </t>
  </si>
  <si>
    <t>2425880.51 </t>
  </si>
  <si>
    <t> 26.09.1929 00:14 </t>
  </si>
  <si>
    <t>2426033.52 </t>
  </si>
  <si>
    <t> 26.02.1930 00:28 </t>
  </si>
  <si>
    <t> 0.02 </t>
  </si>
  <si>
    <t> E.J.Woodward </t>
  </si>
  <si>
    <t> HB 917.7 </t>
  </si>
  <si>
    <t>2427532.076 </t>
  </si>
  <si>
    <t> 04.04.1934 13:49 </t>
  </si>
  <si>
    <t> -0.013 </t>
  </si>
  <si>
    <t> J.Piegza </t>
  </si>
  <si>
    <t> COVS </t>
  </si>
  <si>
    <t>2427914.387 </t>
  </si>
  <si>
    <t> 21.04.1935 21:17 </t>
  </si>
  <si>
    <t> 0.006 </t>
  </si>
  <si>
    <t> A.Kwiek </t>
  </si>
  <si>
    <t> AAC 2.139 </t>
  </si>
  <si>
    <t>2427919.527 </t>
  </si>
  <si>
    <t> 27.04.1935 00:38 </t>
  </si>
  <si>
    <t> 0.049 </t>
  </si>
  <si>
    <t>2427924.603 </t>
  </si>
  <si>
    <t> 02.05.1935 02:28 </t>
  </si>
  <si>
    <t> 0.028 </t>
  </si>
  <si>
    <t>2427929.658 </t>
  </si>
  <si>
    <t> 07.05.1935 03:47 </t>
  </si>
  <si>
    <t> -0.014 </t>
  </si>
  <si>
    <t>2427960.262 </t>
  </si>
  <si>
    <t> 06.06.1935 18:17 </t>
  </si>
  <si>
    <t>2427965.326 </t>
  </si>
  <si>
    <t> 11.06.1935 19:49 </t>
  </si>
  <si>
    <t> -0.027 </t>
  </si>
  <si>
    <t>2427970.439 </t>
  </si>
  <si>
    <t> 16.06.1935 22:32 </t>
  </si>
  <si>
    <t> -0.011 </t>
  </si>
  <si>
    <t>2427975.578 </t>
  </si>
  <si>
    <t> 22.06.1935 01:52 </t>
  </si>
  <si>
    <t> 0.030 </t>
  </si>
  <si>
    <t>2427980.671 </t>
  </si>
  <si>
    <t> 27.06.1935 04:06 </t>
  </si>
  <si>
    <t> 0.026 </t>
  </si>
  <si>
    <t>2428011.296 </t>
  </si>
  <si>
    <t> 27.07.1935 19:06 </t>
  </si>
  <si>
    <t> 0.068 </t>
  </si>
  <si>
    <t>2428021.418 </t>
  </si>
  <si>
    <t> 06.08.1935 22:01 </t>
  </si>
  <si>
    <t> -0.005 </t>
  </si>
  <si>
    <t>2428036.706 </t>
  </si>
  <si>
    <t> 22.08.1935 04:56 </t>
  </si>
  <si>
    <t> -0.008 </t>
  </si>
  <si>
    <t>2428128.465 </t>
  </si>
  <si>
    <t> 21.11.1935 23:09 </t>
  </si>
  <si>
    <t> 0.001 </t>
  </si>
  <si>
    <t>2429877.040 </t>
  </si>
  <si>
    <t> 04.09.1940 12:57 </t>
  </si>
  <si>
    <t> 0.227 </t>
  </si>
  <si>
    <t> S.Gaposchkin </t>
  </si>
  <si>
    <t> HA 113.73 </t>
  </si>
  <si>
    <t>2437879.449 </t>
  </si>
  <si>
    <t> 02.08.1962 22:46 </t>
  </si>
  <si>
    <t> -0.010 </t>
  </si>
  <si>
    <t> J.Vagera </t>
  </si>
  <si>
    <t> BRNO 6 </t>
  </si>
  <si>
    <t>2438399.347 </t>
  </si>
  <si>
    <t> 04.01.1964 20:19 </t>
  </si>
  <si>
    <t> -0.029 </t>
  </si>
  <si>
    <t> F.Zdarsky </t>
  </si>
  <si>
    <t>2438399.352 </t>
  </si>
  <si>
    <t> 04.01.1964 20:26 </t>
  </si>
  <si>
    <t> -0.024 </t>
  </si>
  <si>
    <t> V.Mlynek </t>
  </si>
  <si>
    <t>2439709.349 </t>
  </si>
  <si>
    <t> 06.08.1967 20:22 </t>
  </si>
  <si>
    <t> N.Güdür </t>
  </si>
  <si>
    <t> AN 291.112 </t>
  </si>
  <si>
    <t>2441269.112 </t>
  </si>
  <si>
    <t> 13.11.1971 14:41 </t>
  </si>
  <si>
    <t>E </t>
  </si>
  <si>
    <t>?</t>
  </si>
  <si>
    <t> V.Hartvig </t>
  </si>
  <si>
    <t> PTAO 38.178 </t>
  </si>
  <si>
    <t>2442395.601 </t>
  </si>
  <si>
    <t> 14.12.1974 02:25 </t>
  </si>
  <si>
    <t> -0.001 </t>
  </si>
  <si>
    <t>2443297.811 </t>
  </si>
  <si>
    <t> 03.06.1977 07:27 </t>
  </si>
  <si>
    <t> 0.000 </t>
  </si>
  <si>
    <t>2443430.350 </t>
  </si>
  <si>
    <t> 13.10.1977 20:24 </t>
  </si>
  <si>
    <t> 0.011 </t>
  </si>
  <si>
    <t> J.M.Kreiner et al. </t>
  </si>
  <si>
    <t> BAC 41.51 </t>
  </si>
  <si>
    <t>2443787.155 </t>
  </si>
  <si>
    <t> 05.10.1978 15:43 </t>
  </si>
  <si>
    <t> 0.010 </t>
  </si>
  <si>
    <t>2444582.329 </t>
  </si>
  <si>
    <t> 08.12.1980 19:53 </t>
  </si>
  <si>
    <t> 0.017 </t>
  </si>
  <si>
    <t>2444852.432 </t>
  </si>
  <si>
    <t> 04.09.1981 22:22 </t>
  </si>
  <si>
    <t> -0.033 </t>
  </si>
  <si>
    <t> J.Manek </t>
  </si>
  <si>
    <t> BRNO 26 </t>
  </si>
  <si>
    <t>2444934.036 </t>
  </si>
  <si>
    <t> 25.11.1981 12:51 </t>
  </si>
  <si>
    <t> 0.015 </t>
  </si>
  <si>
    <t>2445191.370 </t>
  </si>
  <si>
    <t> 09.08.1982 20:52 </t>
  </si>
  <si>
    <t> -0.061 </t>
  </si>
  <si>
    <t> T.Brelstaff </t>
  </si>
  <si>
    <t> VSSC 60.20 </t>
  </si>
  <si>
    <t>2445879.500 </t>
  </si>
  <si>
    <t> 28.06.1984 00:00 </t>
  </si>
  <si>
    <t> -0.056 </t>
  </si>
  <si>
    <t> R.Diethelm </t>
  </si>
  <si>
    <t> BBS 72 </t>
  </si>
  <si>
    <t>2446055.389 </t>
  </si>
  <si>
    <t> 20.12.1984 21:20 </t>
  </si>
  <si>
    <t> -0.022 </t>
  </si>
  <si>
    <t> A.Paschke </t>
  </si>
  <si>
    <t> BBS 75 </t>
  </si>
  <si>
    <t>2446738.461 </t>
  </si>
  <si>
    <t> 03.11.1986 23:03 </t>
  </si>
  <si>
    <t> 0.022 </t>
  </si>
  <si>
    <t>2447207.409 </t>
  </si>
  <si>
    <t> 15.02.1988 21:48 </t>
  </si>
  <si>
    <t> 0.025 </t>
  </si>
  <si>
    <t>2449623.485 </t>
  </si>
  <si>
    <t> 27.09.1994 23:38 </t>
  </si>
  <si>
    <t> 0.016 </t>
  </si>
  <si>
    <t> P.Molik </t>
  </si>
  <si>
    <t>OEJV 0060 </t>
  </si>
  <si>
    <t>2451417.718 </t>
  </si>
  <si>
    <t> 27.08.1999 05:13 </t>
  </si>
  <si>
    <t> K.Tikkanen </t>
  </si>
  <si>
    <t> BBS 124 </t>
  </si>
  <si>
    <t>2452080.376 </t>
  </si>
  <si>
    <t> 19.06.2001 21:01 </t>
  </si>
  <si>
    <t> 0.043 </t>
  </si>
  <si>
    <t> R.Meyer </t>
  </si>
  <si>
    <t>BAVM 154 </t>
  </si>
  <si>
    <t>2452860.257 </t>
  </si>
  <si>
    <t> 08.08.2003 18:10 </t>
  </si>
  <si>
    <t>BAVM 171 </t>
  </si>
  <si>
    <t>2453635.032 </t>
  </si>
  <si>
    <t> 21.09.2005 12:46 </t>
  </si>
  <si>
    <t> 0.045 </t>
  </si>
  <si>
    <t>OEJV 0028 </t>
  </si>
  <si>
    <t>2453818.53562 </t>
  </si>
  <si>
    <t> 24.03.2006 00:51 </t>
  </si>
  <si>
    <t> 0.04871 </t>
  </si>
  <si>
    <t>C </t>
  </si>
  <si>
    <t>R</t>
  </si>
  <si>
    <t> L.Brát </t>
  </si>
  <si>
    <t>OEJV 0074 </t>
  </si>
  <si>
    <t>2456219.3461 </t>
  </si>
  <si>
    <t> 18.10.2012 20:18 </t>
  </si>
  <si>
    <t> 0.0654 </t>
  </si>
  <si>
    <t>-I</t>
  </si>
  <si>
    <t> F.Agerer </t>
  </si>
  <si>
    <t>BAVM 232 </t>
  </si>
  <si>
    <t>2456596.5405 </t>
  </si>
  <si>
    <t> 31.10.2013 00:58 </t>
  </si>
  <si>
    <t>2609</t>
  </si>
  <si>
    <t> 0.0650 </t>
  </si>
  <si>
    <t>BAVM 234 </t>
  </si>
  <si>
    <t>2456856.497 </t>
  </si>
  <si>
    <t> 17.07.2014 23:55 </t>
  </si>
  <si>
    <t>2660</t>
  </si>
  <si>
    <t> 0.063 </t>
  </si>
  <si>
    <t>o</t>
  </si>
  <si>
    <t>OEJV 0172 </t>
  </si>
  <si>
    <t>2456907.4769 </t>
  </si>
  <si>
    <t> 06.09.2014 23:26 </t>
  </si>
  <si>
    <t>2670</t>
  </si>
  <si>
    <t> 0.0706 </t>
  </si>
  <si>
    <t>BAVM 239 </t>
  </si>
  <si>
    <t>2456930.4182 </t>
  </si>
  <si>
    <t> 29.09.2014 22:02 </t>
  </si>
  <si>
    <t>2674.5</t>
  </si>
  <si>
    <t> 0.0744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</si>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</sst>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8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left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7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Cep - O-C Diagr.</a:t>
            </a:r>
          </a:p>
        </c:rich>
      </c:tx>
      <c:layout>
        <c:manualLayout>
          <c:xMode val="edge"/>
          <c:yMode val="edge"/>
          <c:x val="0.369416348729604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69252958613219"/>
          <c:w val="0.80068862873279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  <c:pt idx="45">
                  <c:v>4.5252399999299087E-2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FC-4EC0-930A-A01FA72C91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0.15949279999767896</c:v>
                </c:pt>
                <c:pt idx="1">
                  <c:v>0.15218549999917741</c:v>
                </c:pt>
                <c:pt idx="2">
                  <c:v>0.17495880000205943</c:v>
                </c:pt>
                <c:pt idx="3">
                  <c:v>-7.5605400001222733E-2</c:v>
                </c:pt>
                <c:pt idx="4">
                  <c:v>-1.8459300001268275E-2</c:v>
                </c:pt>
                <c:pt idx="5">
                  <c:v>-2.7072649998444831E-2</c:v>
                </c:pt>
                <c:pt idx="6">
                  <c:v>-2.5686000000860076E-2</c:v>
                </c:pt>
                <c:pt idx="7">
                  <c:v>-7.7366100002109306E-2</c:v>
                </c:pt>
                <c:pt idx="8">
                  <c:v>1.5832900000532391E-2</c:v>
                </c:pt>
                <c:pt idx="9">
                  <c:v>-1.2816900001780596E-2</c:v>
                </c:pt>
                <c:pt idx="10">
                  <c:v>6.1805999976058956E-3</c:v>
                </c:pt>
                <c:pt idx="11">
                  <c:v>4.8953899997286499E-2</c:v>
                </c:pt>
                <c:pt idx="12">
                  <c:v>2.7727199998480501E-2</c:v>
                </c:pt>
                <c:pt idx="13">
                  <c:v>-1.4499500000965782E-2</c:v>
                </c:pt>
                <c:pt idx="14">
                  <c:v>6.1402999963320326E-3</c:v>
                </c:pt>
                <c:pt idx="15">
                  <c:v>-2.7086399997642729E-2</c:v>
                </c:pt>
                <c:pt idx="16">
                  <c:v>-1.131310000346275E-2</c:v>
                </c:pt>
                <c:pt idx="17">
                  <c:v>3.0460199999652104E-2</c:v>
                </c:pt>
                <c:pt idx="18">
                  <c:v>2.6233499997033505E-2</c:v>
                </c:pt>
                <c:pt idx="19">
                  <c:v>6.7873299998609582E-2</c:v>
                </c:pt>
                <c:pt idx="20">
                  <c:v>-4.5800999978382606E-3</c:v>
                </c:pt>
                <c:pt idx="21">
                  <c:v>-8.2602000038605183E-3</c:v>
                </c:pt>
                <c:pt idx="22">
                  <c:v>6.5919999906327575E-4</c:v>
                </c:pt>
                <c:pt idx="23">
                  <c:v>0.22690110000257846</c:v>
                </c:pt>
                <c:pt idx="24">
                  <c:v>-1.0017900000093505E-2</c:v>
                </c:pt>
                <c:pt idx="25">
                  <c:v>-2.9141300001356285E-2</c:v>
                </c:pt>
                <c:pt idx="26">
                  <c:v>-2.414130000397563E-2</c:v>
                </c:pt>
                <c:pt idx="27">
                  <c:v>-1.4403200002561789E-2</c:v>
                </c:pt>
                <c:pt idx="28">
                  <c:v>-2.7734000032069162E-3</c:v>
                </c:pt>
                <c:pt idx="29">
                  <c:v>-8.7409999832743779E-4</c:v>
                </c:pt>
                <c:pt idx="31">
                  <c:v>1.110579999658512E-2</c:v>
                </c:pt>
                <c:pt idx="32">
                  <c:v>1.023680000071181E-2</c:v>
                </c:pt>
                <c:pt idx="33">
                  <c:v>1.6871599997102749E-2</c:v>
                </c:pt>
                <c:pt idx="35">
                  <c:v>1.5229299999191426E-2</c:v>
                </c:pt>
                <c:pt idx="39">
                  <c:v>2.1977500000502914E-2</c:v>
                </c:pt>
                <c:pt idx="40">
                  <c:v>2.5121099999523722E-2</c:v>
                </c:pt>
                <c:pt idx="43">
                  <c:v>4.3395899992901832E-2</c:v>
                </c:pt>
                <c:pt idx="44">
                  <c:v>4.8710799994296394E-2</c:v>
                </c:pt>
                <c:pt idx="49">
                  <c:v>6.2978000001749024E-2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FC-4EC0-930A-A01FA72C91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7">
                  <c:v>6.541550000110874E-2</c:v>
                </c:pt>
                <c:pt idx="48">
                  <c:v>6.5039699999033473E-2</c:v>
                </c:pt>
                <c:pt idx="50">
                  <c:v>7.0610999995551538E-2</c:v>
                </c:pt>
                <c:pt idx="51">
                  <c:v>7.4390850000781938E-2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FC-4EC0-930A-A01FA72C91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6">
                  <c:v>4.8711200004618149E-2</c:v>
                </c:pt>
                <c:pt idx="52">
                  <c:v>8.6735449993284419E-2</c:v>
                </c:pt>
                <c:pt idx="53">
                  <c:v>7.7568449996761046E-2</c:v>
                </c:pt>
                <c:pt idx="54">
                  <c:v>8.2404499997210223E-2</c:v>
                </c:pt>
                <c:pt idx="55">
                  <c:v>2.88964999926975E-2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FC-4EC0-930A-A01FA72C91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FC-4EC0-930A-A01FA72C91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FC-4EC0-930A-A01FA72C91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9.0000000000000011E-3</c:v>
                  </c:pt>
                  <c:pt idx="46">
                    <c:v>2.0000000000000001E-4</c:v>
                  </c:pt>
                  <c:pt idx="47">
                    <c:v>2E-3</c:v>
                  </c:pt>
                  <c:pt idx="48">
                    <c:v>1E-3</c:v>
                  </c:pt>
                  <c:pt idx="49">
                    <c:v>7.0000000000000001E-3</c:v>
                  </c:pt>
                  <c:pt idx="50">
                    <c:v>2.2800000000000001E-2</c:v>
                  </c:pt>
                  <c:pt idx="51">
                    <c:v>2.3900000000000001E-2</c:v>
                  </c:pt>
                  <c:pt idx="52">
                    <c:v>3.0200000000000001E-2</c:v>
                  </c:pt>
                  <c:pt idx="53">
                    <c:v>1.9900000000000001E-2</c:v>
                  </c:pt>
                  <c:pt idx="54">
                    <c:v>2.5000000000000001E-3</c:v>
                  </c:pt>
                  <c:pt idx="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FC-4EC0-930A-A01FA72C91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-7.9387918280731024E-2</c:v>
                </c:pt>
                <c:pt idx="1">
                  <c:v>-7.8945420665247401E-2</c:v>
                </c:pt>
                <c:pt idx="2">
                  <c:v>-7.8922131317064048E-2</c:v>
                </c:pt>
                <c:pt idx="3">
                  <c:v>-7.5987673445962106E-2</c:v>
                </c:pt>
                <c:pt idx="4">
                  <c:v>-7.5591754526845176E-2</c:v>
                </c:pt>
                <c:pt idx="5">
                  <c:v>-7.5580109852753499E-2</c:v>
                </c:pt>
                <c:pt idx="6">
                  <c:v>-7.5568465178661823E-2</c:v>
                </c:pt>
                <c:pt idx="7">
                  <c:v>-7.5498597134111778E-2</c:v>
                </c:pt>
                <c:pt idx="8">
                  <c:v>-7.4799916688611315E-2</c:v>
                </c:pt>
                <c:pt idx="9">
                  <c:v>-6.7952848322706774E-2</c:v>
                </c:pt>
                <c:pt idx="10">
                  <c:v>-6.620614720895561E-2</c:v>
                </c:pt>
                <c:pt idx="11">
                  <c:v>-6.6182857860772257E-2</c:v>
                </c:pt>
                <c:pt idx="12">
                  <c:v>-6.6159568512588918E-2</c:v>
                </c:pt>
                <c:pt idx="13">
                  <c:v>-6.6136279164405565E-2</c:v>
                </c:pt>
                <c:pt idx="14">
                  <c:v>-6.5996543075305475E-2</c:v>
                </c:pt>
                <c:pt idx="15">
                  <c:v>-6.5973253727122122E-2</c:v>
                </c:pt>
                <c:pt idx="16">
                  <c:v>-6.5949964378938769E-2</c:v>
                </c:pt>
                <c:pt idx="17">
                  <c:v>-6.592667503075543E-2</c:v>
                </c:pt>
                <c:pt idx="18">
                  <c:v>-6.5903385682572077E-2</c:v>
                </c:pt>
                <c:pt idx="19">
                  <c:v>-6.5763649593471987E-2</c:v>
                </c:pt>
                <c:pt idx="20">
                  <c:v>-6.5717070897105281E-2</c:v>
                </c:pt>
                <c:pt idx="21">
                  <c:v>-6.5647202852555236E-2</c:v>
                </c:pt>
                <c:pt idx="22">
                  <c:v>-6.5227994585254967E-2</c:v>
                </c:pt>
                <c:pt idx="23">
                  <c:v>-5.7239748158366327E-2</c:v>
                </c:pt>
                <c:pt idx="24">
                  <c:v>-2.0675471510508737E-2</c:v>
                </c:pt>
                <c:pt idx="25">
                  <c:v>-1.8299957995807161E-2</c:v>
                </c:pt>
                <c:pt idx="26">
                  <c:v>-1.8299957995807161E-2</c:v>
                </c:pt>
                <c:pt idx="27">
                  <c:v>-1.2314595512686523E-2</c:v>
                </c:pt>
                <c:pt idx="28">
                  <c:v>-5.1880549685817973E-3</c:v>
                </c:pt>
                <c:pt idx="29">
                  <c:v>-4.1109020061715421E-5</c:v>
                </c:pt>
                <c:pt idx="30">
                  <c:v>4.0811056083910197E-3</c:v>
                </c:pt>
                <c:pt idx="31">
                  <c:v>4.6866286611580883E-3</c:v>
                </c:pt>
                <c:pt idx="32">
                  <c:v>6.316883033992503E-3</c:v>
                </c:pt>
                <c:pt idx="33">
                  <c:v>9.9500213505949141E-3</c:v>
                </c:pt>
                <c:pt idx="34">
                  <c:v>1.1184356804312399E-2</c:v>
                </c:pt>
                <c:pt idx="35">
                  <c:v>1.1556986375245978E-2</c:v>
                </c:pt>
                <c:pt idx="36">
                  <c:v>1.2733098458505093E-2</c:v>
                </c:pt>
                <c:pt idx="37">
                  <c:v>1.5877160463257177E-2</c:v>
                </c:pt>
                <c:pt idx="38">
                  <c:v>1.6680642975582714E-2</c:v>
                </c:pt>
                <c:pt idx="39">
                  <c:v>1.9801415632151449E-2</c:v>
                </c:pt>
                <c:pt idx="40">
                  <c:v>2.1944035665019537E-2</c:v>
                </c:pt>
                <c:pt idx="41">
                  <c:v>3.2983186703926859E-2</c:v>
                </c:pt>
                <c:pt idx="42">
                  <c:v>4.1181037264465634E-2</c:v>
                </c:pt>
                <c:pt idx="43">
                  <c:v>4.4208652528300973E-2</c:v>
                </c:pt>
                <c:pt idx="44">
                  <c:v>4.7771922800353341E-2</c:v>
                </c:pt>
                <c:pt idx="45">
                  <c:v>5.1311903724222355E-2</c:v>
                </c:pt>
                <c:pt idx="46">
                  <c:v>5.2150320258822908E-2</c:v>
                </c:pt>
                <c:pt idx="47">
                  <c:v>6.3119603253180195E-2</c:v>
                </c:pt>
                <c:pt idx="48">
                  <c:v>6.4843015018748007E-2</c:v>
                </c:pt>
                <c:pt idx="49">
                  <c:v>6.6030771776098784E-2</c:v>
                </c:pt>
                <c:pt idx="50">
                  <c:v>6.6263665257932272E-2</c:v>
                </c:pt>
                <c:pt idx="51">
                  <c:v>6.6368467324757346E-2</c:v>
                </c:pt>
                <c:pt idx="52">
                  <c:v>6.7812406912124965E-2</c:v>
                </c:pt>
                <c:pt idx="53">
                  <c:v>6.8045300393958452E-2</c:v>
                </c:pt>
                <c:pt idx="54">
                  <c:v>7.0805088153685289E-2</c:v>
                </c:pt>
                <c:pt idx="55">
                  <c:v>7.6394531717688993E-2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FC-4EC0-930A-A01FA72C91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-3584</c:v>
                </c:pt>
                <c:pt idx="1">
                  <c:v>-3565</c:v>
                </c:pt>
                <c:pt idx="2">
                  <c:v>-3564</c:v>
                </c:pt>
                <c:pt idx="3">
                  <c:v>-3438</c:v>
                </c:pt>
                <c:pt idx="4">
                  <c:v>-3421</c:v>
                </c:pt>
                <c:pt idx="5">
                  <c:v>-3420.5</c:v>
                </c:pt>
                <c:pt idx="6">
                  <c:v>-3420</c:v>
                </c:pt>
                <c:pt idx="7">
                  <c:v>-3417</c:v>
                </c:pt>
                <c:pt idx="8">
                  <c:v>-3387</c:v>
                </c:pt>
                <c:pt idx="9">
                  <c:v>-3093</c:v>
                </c:pt>
                <c:pt idx="10">
                  <c:v>-3018</c:v>
                </c:pt>
                <c:pt idx="11">
                  <c:v>-3017</c:v>
                </c:pt>
                <c:pt idx="12">
                  <c:v>-3016</c:v>
                </c:pt>
                <c:pt idx="13">
                  <c:v>-3015</c:v>
                </c:pt>
                <c:pt idx="14">
                  <c:v>-3009</c:v>
                </c:pt>
                <c:pt idx="15">
                  <c:v>-3008</c:v>
                </c:pt>
                <c:pt idx="16">
                  <c:v>-3007</c:v>
                </c:pt>
                <c:pt idx="17">
                  <c:v>-3006</c:v>
                </c:pt>
                <c:pt idx="18">
                  <c:v>-3005</c:v>
                </c:pt>
                <c:pt idx="19">
                  <c:v>-2999</c:v>
                </c:pt>
                <c:pt idx="20">
                  <c:v>-2997</c:v>
                </c:pt>
                <c:pt idx="21">
                  <c:v>-2994</c:v>
                </c:pt>
                <c:pt idx="22">
                  <c:v>-2976</c:v>
                </c:pt>
                <c:pt idx="23">
                  <c:v>-2633</c:v>
                </c:pt>
                <c:pt idx="24">
                  <c:v>-1063</c:v>
                </c:pt>
                <c:pt idx="25">
                  <c:v>-961</c:v>
                </c:pt>
                <c:pt idx="26">
                  <c:v>-961</c:v>
                </c:pt>
                <c:pt idx="27">
                  <c:v>-704</c:v>
                </c:pt>
                <c:pt idx="28">
                  <c:v>-398</c:v>
                </c:pt>
                <c:pt idx="29">
                  <c:v>-177</c:v>
                </c:pt>
                <c:pt idx="30">
                  <c:v>0</c:v>
                </c:pt>
                <c:pt idx="31">
                  <c:v>26</c:v>
                </c:pt>
                <c:pt idx="32">
                  <c:v>96</c:v>
                </c:pt>
                <c:pt idx="33">
                  <c:v>252</c:v>
                </c:pt>
                <c:pt idx="34">
                  <c:v>305</c:v>
                </c:pt>
                <c:pt idx="35">
                  <c:v>321</c:v>
                </c:pt>
                <c:pt idx="36">
                  <c:v>371.5</c:v>
                </c:pt>
                <c:pt idx="37">
                  <c:v>506.5</c:v>
                </c:pt>
                <c:pt idx="38">
                  <c:v>541</c:v>
                </c:pt>
                <c:pt idx="39">
                  <c:v>675</c:v>
                </c:pt>
                <c:pt idx="40">
                  <c:v>767</c:v>
                </c:pt>
                <c:pt idx="41">
                  <c:v>1241</c:v>
                </c:pt>
                <c:pt idx="42">
                  <c:v>1593</c:v>
                </c:pt>
                <c:pt idx="43">
                  <c:v>1723</c:v>
                </c:pt>
                <c:pt idx="44">
                  <c:v>1876</c:v>
                </c:pt>
                <c:pt idx="45">
                  <c:v>2028</c:v>
                </c:pt>
                <c:pt idx="46">
                  <c:v>2064</c:v>
                </c:pt>
                <c:pt idx="47">
                  <c:v>2535</c:v>
                </c:pt>
                <c:pt idx="48">
                  <c:v>2609</c:v>
                </c:pt>
                <c:pt idx="49">
                  <c:v>2660</c:v>
                </c:pt>
                <c:pt idx="50">
                  <c:v>2670</c:v>
                </c:pt>
                <c:pt idx="51">
                  <c:v>2674.5</c:v>
                </c:pt>
                <c:pt idx="52">
                  <c:v>2736.5</c:v>
                </c:pt>
                <c:pt idx="53">
                  <c:v>2746.5</c:v>
                </c:pt>
                <c:pt idx="54">
                  <c:v>2865</c:v>
                </c:pt>
                <c:pt idx="55">
                  <c:v>3105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4">
                  <c:v>-3.3143500004371163E-2</c:v>
                </c:pt>
                <c:pt idx="36">
                  <c:v>-6.0719050001353025E-2</c:v>
                </c:pt>
                <c:pt idx="37">
                  <c:v>-5.6323550001252443E-2</c:v>
                </c:pt>
                <c:pt idx="38">
                  <c:v>-2.164469999843277E-2</c:v>
                </c:pt>
                <c:pt idx="41">
                  <c:v>1.5665300001273863E-2</c:v>
                </c:pt>
                <c:pt idx="42">
                  <c:v>2.4866899999324232E-2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FC-4EC0-930A-A01FA72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255120"/>
        <c:axId val="1"/>
      </c:scatterChart>
      <c:valAx>
        <c:axId val="56025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40978254007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255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33007729703889"/>
          <c:y val="0.92000129214617399"/>
          <c:w val="0.8161526458677201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57150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DEB81A2-18B0-E58E-64F0-736EC69D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3" Type="http://schemas.openxmlformats.org/officeDocument/2006/relationships/hyperlink" Target="http://www.bav-astro.de/sfs/BAVM_link.php?BAVMnr=171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54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028.pdf" TargetMode="External"/><Relationship Id="rId9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workbookViewId="0">
      <pane xSplit="13" ySplit="22" topLeftCell="N55" activePane="bottomRight" state="frozen"/>
      <selection pane="topRight" activeCell="N1" sqref="N1"/>
      <selection pane="bottomLeft" activeCell="A23" sqref="A23"/>
      <selection pane="bottomRight" activeCell="A76" sqref="A76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44</v>
      </c>
    </row>
    <row r="2" spans="1:6">
      <c r="A2" t="s">
        <v>26</v>
      </c>
      <c r="B2" s="11" t="s">
        <v>43</v>
      </c>
    </row>
    <row r="4" spans="1:6" ht="14.25" thickTop="1" thickBot="1">
      <c r="A4" s="7" t="s">
        <v>2</v>
      </c>
      <c r="C4" s="3">
        <v>43297.811000000002</v>
      </c>
      <c r="D4" s="4">
        <v>5.0972267000000002</v>
      </c>
    </row>
    <row r="5" spans="1:6" ht="13.5" thickTop="1">
      <c r="A5" s="12" t="s">
        <v>50</v>
      </c>
      <c r="B5" s="13"/>
      <c r="C5" s="14">
        <v>-9.5</v>
      </c>
      <c r="D5" s="13" t="s">
        <v>51</v>
      </c>
    </row>
    <row r="6" spans="1:6">
      <c r="A6" s="7" t="s">
        <v>3</v>
      </c>
    </row>
    <row r="7" spans="1:6">
      <c r="A7" t="s">
        <v>4</v>
      </c>
      <c r="C7">
        <v>43297.811000000002</v>
      </c>
    </row>
    <row r="8" spans="1:6">
      <c r="A8" t="s">
        <v>5</v>
      </c>
      <c r="C8">
        <v>5.0972267000000002</v>
      </c>
    </row>
    <row r="9" spans="1:6">
      <c r="A9" s="26" t="s">
        <v>55</v>
      </c>
      <c r="B9" s="27">
        <v>46</v>
      </c>
      <c r="C9" s="16" t="str">
        <f>"F"&amp;B9</f>
        <v>F46</v>
      </c>
      <c r="D9" s="10" t="str">
        <f>"G"&amp;B9</f>
        <v>G46</v>
      </c>
    </row>
    <row r="10" spans="1:6" ht="13.5" thickBot="1">
      <c r="A10" s="13"/>
      <c r="B10" s="13"/>
      <c r="C10" s="6" t="s">
        <v>22</v>
      </c>
      <c r="D10" s="6" t="s">
        <v>23</v>
      </c>
      <c r="E10" s="13"/>
    </row>
    <row r="11" spans="1:6">
      <c r="A11" s="13" t="s">
        <v>18</v>
      </c>
      <c r="B11" s="13"/>
      <c r="C11" s="15">
        <f ca="1">INTERCEPT(INDIRECT($D$9):G992,INDIRECT($C$9):F992)</f>
        <v>4.0811056083910197E-3</v>
      </c>
      <c r="D11" s="5"/>
      <c r="E11" s="13"/>
    </row>
    <row r="12" spans="1:6">
      <c r="A12" s="13" t="s">
        <v>19</v>
      </c>
      <c r="B12" s="13"/>
      <c r="C12" s="15">
        <f ca="1">SLOPE(INDIRECT($D$9):G992,INDIRECT($C$9):F992)</f>
        <v>2.3289348183348784E-5</v>
      </c>
      <c r="D12" s="5"/>
      <c r="E12" s="13"/>
    </row>
    <row r="13" spans="1:6">
      <c r="A13" s="13" t="s">
        <v>21</v>
      </c>
      <c r="B13" s="13"/>
      <c r="C13" s="5" t="s">
        <v>16</v>
      </c>
    </row>
    <row r="14" spans="1:6">
      <c r="A14" s="13"/>
      <c r="B14" s="13"/>
      <c r="C14" s="13"/>
    </row>
    <row r="15" spans="1:6">
      <c r="A15" s="17" t="s">
        <v>20</v>
      </c>
      <c r="B15" s="13"/>
      <c r="C15" s="18">
        <f ca="1">(C7+C11)+(C8+C12)*INT(MAX(F21:F3533))</f>
        <v>59124.77629803172</v>
      </c>
      <c r="E15" s="19" t="s">
        <v>56</v>
      </c>
      <c r="F15" s="14">
        <v>1</v>
      </c>
    </row>
    <row r="16" spans="1:6">
      <c r="A16" s="21" t="s">
        <v>6</v>
      </c>
      <c r="B16" s="13"/>
      <c r="C16" s="22">
        <f ca="1">+C8+C12</f>
        <v>5.0972499893481835</v>
      </c>
      <c r="E16" s="19" t="s">
        <v>52</v>
      </c>
      <c r="F16" s="20">
        <f ca="1">NOW()+15018.5+$C$5/24</f>
        <v>60334.814317592587</v>
      </c>
    </row>
    <row r="17" spans="1:21" ht="13.5" thickBot="1">
      <c r="A17" s="19" t="s">
        <v>42</v>
      </c>
      <c r="B17" s="13"/>
      <c r="C17" s="13">
        <f>COUNT(C21:C2191)</f>
        <v>56</v>
      </c>
      <c r="E17" s="19" t="s">
        <v>57</v>
      </c>
      <c r="F17" s="20">
        <f ca="1">ROUND(2*(F16-$C$7)/$C$8,0)/2+F15</f>
        <v>3343.5</v>
      </c>
    </row>
    <row r="18" spans="1:21" ht="14.25" thickTop="1" thickBot="1">
      <c r="A18" s="21" t="s">
        <v>7</v>
      </c>
      <c r="B18" s="13"/>
      <c r="C18" s="24">
        <f ca="1">+C15</f>
        <v>59124.77629803172</v>
      </c>
      <c r="D18" s="25">
        <f ca="1">+C16</f>
        <v>5.0972499893481835</v>
      </c>
      <c r="E18" s="19" t="s">
        <v>53</v>
      </c>
      <c r="F18" s="10">
        <f ca="1">ROUND(2*(F16-$C$15)/$C$16,0)/2+F15</f>
        <v>238.5</v>
      </c>
    </row>
    <row r="19" spans="1:21" ht="13.5" thickTop="1">
      <c r="E19" s="19" t="s">
        <v>54</v>
      </c>
      <c r="F19" s="23">
        <f ca="1">+$C$15+$C$16*F18-15018.5-$C$5/24</f>
        <v>45322.366253824599</v>
      </c>
    </row>
    <row r="20" spans="1:21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70</v>
      </c>
      <c r="I20" s="9" t="s">
        <v>47</v>
      </c>
      <c r="J20" s="9" t="s">
        <v>67</v>
      </c>
      <c r="K20" s="9" t="s">
        <v>65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6"/>
      <c r="S20" s="6"/>
      <c r="T20" s="6"/>
      <c r="U20" s="30" t="s">
        <v>58</v>
      </c>
    </row>
    <row r="21" spans="1:21" ht="12.75" customHeight="1">
      <c r="A21" s="50" t="s">
        <v>80</v>
      </c>
      <c r="B21" s="51" t="s">
        <v>49</v>
      </c>
      <c r="C21" s="50">
        <v>25029.51</v>
      </c>
      <c r="D21" s="50" t="s">
        <v>47</v>
      </c>
      <c r="E21">
        <f t="shared" ref="E21:E52" si="0">+(C21-C$7)/C$8</f>
        <v>-3583.9687098868885</v>
      </c>
      <c r="F21">
        <f t="shared" ref="F21:F52" si="1">ROUND(2*E21,0)/2</f>
        <v>-3584</v>
      </c>
      <c r="G21">
        <f t="shared" ref="G21:G54" si="2">+C21-(C$7+F21*C$8)</f>
        <v>0.15949279999767896</v>
      </c>
      <c r="I21">
        <f t="shared" ref="I21:I50" si="3">+G21</f>
        <v>0.15949279999767896</v>
      </c>
      <c r="O21">
        <f t="shared" ref="O21:O52" ca="1" si="4">+C$11+C$12*F21</f>
        <v>-7.9387918280731024E-2</v>
      </c>
      <c r="Q21" s="2">
        <f t="shared" ref="Q21:Q52" si="5">+C21-15018.5</f>
        <v>10011.009999999998</v>
      </c>
      <c r="R21" s="2"/>
      <c r="S21" s="2"/>
      <c r="T21" s="2"/>
    </row>
    <row r="22" spans="1:21" ht="12.75" customHeight="1">
      <c r="A22" s="50" t="s">
        <v>80</v>
      </c>
      <c r="B22" s="51" t="s">
        <v>49</v>
      </c>
      <c r="C22" s="50">
        <v>25126.35</v>
      </c>
      <c r="D22" s="50" t="s">
        <v>47</v>
      </c>
      <c r="E22">
        <f t="shared" si="0"/>
        <v>-3564.9701434703702</v>
      </c>
      <c r="F22">
        <f t="shared" si="1"/>
        <v>-3565</v>
      </c>
      <c r="G22">
        <f t="shared" si="2"/>
        <v>0.15218549999917741</v>
      </c>
      <c r="I22">
        <f t="shared" si="3"/>
        <v>0.15218549999917741</v>
      </c>
      <c r="O22">
        <f t="shared" ca="1" si="4"/>
        <v>-7.8945420665247401E-2</v>
      </c>
      <c r="Q22" s="2">
        <f t="shared" si="5"/>
        <v>10107.849999999999</v>
      </c>
      <c r="R22" s="2"/>
      <c r="S22" s="2"/>
      <c r="T22" s="2"/>
    </row>
    <row r="23" spans="1:21" ht="12.75" customHeight="1">
      <c r="A23" s="50" t="s">
        <v>80</v>
      </c>
      <c r="B23" s="51" t="s">
        <v>49</v>
      </c>
      <c r="C23" s="50">
        <v>25131.47</v>
      </c>
      <c r="D23" s="50" t="s">
        <v>47</v>
      </c>
      <c r="E23">
        <f t="shared" si="0"/>
        <v>-3563.9656756879185</v>
      </c>
      <c r="F23">
        <f t="shared" si="1"/>
        <v>-3564</v>
      </c>
      <c r="G23">
        <f t="shared" si="2"/>
        <v>0.17495880000205943</v>
      </c>
      <c r="I23">
        <f t="shared" si="3"/>
        <v>0.17495880000205943</v>
      </c>
      <c r="O23">
        <f t="shared" ca="1" si="4"/>
        <v>-7.8922131317064048E-2</v>
      </c>
      <c r="Q23" s="2">
        <f t="shared" si="5"/>
        <v>10112.970000000001</v>
      </c>
      <c r="R23" s="2"/>
      <c r="S23" s="2"/>
      <c r="T23" s="2"/>
    </row>
    <row r="24" spans="1:21" ht="12.75" customHeight="1">
      <c r="A24" s="50" t="s">
        <v>80</v>
      </c>
      <c r="B24" s="51" t="s">
        <v>49</v>
      </c>
      <c r="C24" s="50">
        <v>25773.47</v>
      </c>
      <c r="D24" s="50" t="s">
        <v>47</v>
      </c>
      <c r="E24">
        <f t="shared" si="0"/>
        <v>-3438.0148326539997</v>
      </c>
      <c r="F24">
        <f t="shared" si="1"/>
        <v>-3438</v>
      </c>
      <c r="G24">
        <f t="shared" si="2"/>
        <v>-7.5605400001222733E-2</v>
      </c>
      <c r="I24">
        <f t="shared" si="3"/>
        <v>-7.5605400001222733E-2</v>
      </c>
      <c r="O24">
        <f t="shared" ca="1" si="4"/>
        <v>-7.5987673445962106E-2</v>
      </c>
      <c r="Q24" s="2">
        <f t="shared" si="5"/>
        <v>10754.970000000001</v>
      </c>
      <c r="R24" s="2"/>
      <c r="S24" s="2"/>
      <c r="T24" s="2"/>
    </row>
    <row r="25" spans="1:21" ht="12.75" customHeight="1">
      <c r="A25" s="50" t="s">
        <v>95</v>
      </c>
      <c r="B25" s="51" t="s">
        <v>49</v>
      </c>
      <c r="C25" s="50">
        <v>25860.18</v>
      </c>
      <c r="D25" s="50" t="s">
        <v>47</v>
      </c>
      <c r="E25">
        <f t="shared" si="0"/>
        <v>-3421.0036214398706</v>
      </c>
      <c r="F25">
        <f t="shared" si="1"/>
        <v>-3421</v>
      </c>
      <c r="G25">
        <f t="shared" si="2"/>
        <v>-1.8459300001268275E-2</v>
      </c>
      <c r="I25">
        <f t="shared" si="3"/>
        <v>-1.8459300001268275E-2</v>
      </c>
      <c r="O25">
        <f t="shared" ca="1" si="4"/>
        <v>-7.5591754526845176E-2</v>
      </c>
      <c r="Q25" s="2">
        <f t="shared" si="5"/>
        <v>10841.68</v>
      </c>
      <c r="R25" s="2"/>
      <c r="S25" s="2"/>
      <c r="T25" s="2"/>
    </row>
    <row r="26" spans="1:21" ht="12.75" customHeight="1">
      <c r="A26" s="50" t="s">
        <v>95</v>
      </c>
      <c r="B26" s="51" t="s">
        <v>41</v>
      </c>
      <c r="C26" s="50">
        <v>25862.720000000001</v>
      </c>
      <c r="D26" s="50" t="s">
        <v>47</v>
      </c>
      <c r="E26">
        <f t="shared" si="0"/>
        <v>-3420.5053112509199</v>
      </c>
      <c r="F26">
        <f t="shared" si="1"/>
        <v>-3420.5</v>
      </c>
      <c r="G26">
        <f t="shared" si="2"/>
        <v>-2.7072649998444831E-2</v>
      </c>
      <c r="I26">
        <f t="shared" si="3"/>
        <v>-2.7072649998444831E-2</v>
      </c>
      <c r="O26">
        <f t="shared" ca="1" si="4"/>
        <v>-7.5580109852753499E-2</v>
      </c>
      <c r="Q26" s="2">
        <f t="shared" si="5"/>
        <v>10844.220000000001</v>
      </c>
      <c r="R26" s="2"/>
      <c r="S26" s="2"/>
      <c r="T26" s="2"/>
    </row>
    <row r="27" spans="1:21" ht="12.75" customHeight="1">
      <c r="A27" s="50" t="s">
        <v>80</v>
      </c>
      <c r="B27" s="51" t="s">
        <v>49</v>
      </c>
      <c r="C27" s="50">
        <v>25865.27</v>
      </c>
      <c r="D27" s="50" t="s">
        <v>47</v>
      </c>
      <c r="E27">
        <f t="shared" si="0"/>
        <v>-3420.0050392108319</v>
      </c>
      <c r="F27">
        <f t="shared" si="1"/>
        <v>-3420</v>
      </c>
      <c r="G27">
        <f t="shared" si="2"/>
        <v>-2.5686000000860076E-2</v>
      </c>
      <c r="I27">
        <f t="shared" si="3"/>
        <v>-2.5686000000860076E-2</v>
      </c>
      <c r="O27">
        <f t="shared" ca="1" si="4"/>
        <v>-7.5568465178661823E-2</v>
      </c>
      <c r="Q27" s="2">
        <f t="shared" si="5"/>
        <v>10846.77</v>
      </c>
      <c r="R27" s="2"/>
      <c r="S27" s="2"/>
      <c r="T27" s="2"/>
    </row>
    <row r="28" spans="1:21" ht="12.75" customHeight="1">
      <c r="A28" s="50" t="s">
        <v>80</v>
      </c>
      <c r="B28" s="51" t="s">
        <v>49</v>
      </c>
      <c r="C28" s="50">
        <v>25880.51</v>
      </c>
      <c r="D28" s="50" t="s">
        <v>47</v>
      </c>
      <c r="E28">
        <f t="shared" si="0"/>
        <v>-3417.0151780771303</v>
      </c>
      <c r="F28">
        <f t="shared" si="1"/>
        <v>-3417</v>
      </c>
      <c r="G28">
        <f t="shared" si="2"/>
        <v>-7.7366100002109306E-2</v>
      </c>
      <c r="I28">
        <f t="shared" si="3"/>
        <v>-7.7366100002109306E-2</v>
      </c>
      <c r="O28">
        <f t="shared" ca="1" si="4"/>
        <v>-7.5498597134111778E-2</v>
      </c>
      <c r="Q28" s="2">
        <f t="shared" si="5"/>
        <v>10862.009999999998</v>
      </c>
      <c r="R28" s="2"/>
      <c r="S28" s="2"/>
      <c r="T28" s="2"/>
    </row>
    <row r="29" spans="1:21" ht="12.75" customHeight="1">
      <c r="A29" s="50" t="s">
        <v>107</v>
      </c>
      <c r="B29" s="51" t="s">
        <v>49</v>
      </c>
      <c r="C29" s="50">
        <v>26033.52</v>
      </c>
      <c r="D29" s="50" t="s">
        <v>47</v>
      </c>
      <c r="E29">
        <f t="shared" si="0"/>
        <v>-3386.9968938207126</v>
      </c>
      <c r="F29">
        <f t="shared" si="1"/>
        <v>-3387</v>
      </c>
      <c r="G29">
        <f t="shared" si="2"/>
        <v>1.5832900000532391E-2</v>
      </c>
      <c r="I29">
        <f t="shared" si="3"/>
        <v>1.5832900000532391E-2</v>
      </c>
      <c r="O29">
        <f t="shared" ca="1" si="4"/>
        <v>-7.4799916688611315E-2</v>
      </c>
      <c r="Q29" s="2">
        <f t="shared" si="5"/>
        <v>11015.02</v>
      </c>
      <c r="R29" s="2"/>
      <c r="S29" s="2"/>
      <c r="T29" s="2"/>
    </row>
    <row r="30" spans="1:21" ht="12.75" customHeight="1">
      <c r="A30" s="50" t="s">
        <v>112</v>
      </c>
      <c r="B30" s="51" t="s">
        <v>49</v>
      </c>
      <c r="C30" s="50">
        <v>27532.076000000001</v>
      </c>
      <c r="D30" s="50" t="s">
        <v>47</v>
      </c>
      <c r="E30">
        <f t="shared" si="0"/>
        <v>-3093.0025144849847</v>
      </c>
      <c r="F30">
        <f t="shared" si="1"/>
        <v>-3093</v>
      </c>
      <c r="G30">
        <f t="shared" si="2"/>
        <v>-1.2816900001780596E-2</v>
      </c>
      <c r="I30">
        <f t="shared" si="3"/>
        <v>-1.2816900001780596E-2</v>
      </c>
      <c r="O30">
        <f t="shared" ca="1" si="4"/>
        <v>-6.7952848322706774E-2</v>
      </c>
      <c r="Q30" s="2">
        <f t="shared" si="5"/>
        <v>12513.576000000001</v>
      </c>
      <c r="R30" s="2"/>
      <c r="S30" s="2"/>
      <c r="T30" s="2"/>
    </row>
    <row r="31" spans="1:21" ht="12.75" customHeight="1">
      <c r="A31" s="50" t="s">
        <v>117</v>
      </c>
      <c r="B31" s="51" t="s">
        <v>49</v>
      </c>
      <c r="C31" s="50">
        <v>27914.386999999999</v>
      </c>
      <c r="D31" s="50" t="s">
        <v>47</v>
      </c>
      <c r="E31">
        <f t="shared" si="0"/>
        <v>-3017.9987874582862</v>
      </c>
      <c r="F31">
        <f t="shared" si="1"/>
        <v>-3018</v>
      </c>
      <c r="G31">
        <f t="shared" si="2"/>
        <v>6.1805999976058956E-3</v>
      </c>
      <c r="I31">
        <f t="shared" si="3"/>
        <v>6.1805999976058956E-3</v>
      </c>
      <c r="O31">
        <f t="shared" ca="1" si="4"/>
        <v>-6.620614720895561E-2</v>
      </c>
      <c r="Q31" s="2">
        <f t="shared" si="5"/>
        <v>12895.886999999999</v>
      </c>
      <c r="R31" s="2"/>
      <c r="S31" s="2"/>
      <c r="T31" s="2"/>
    </row>
    <row r="32" spans="1:21" ht="12.75" customHeight="1">
      <c r="A32" s="50" t="s">
        <v>117</v>
      </c>
      <c r="B32" s="51" t="s">
        <v>49</v>
      </c>
      <c r="C32" s="50">
        <v>27919.526999999998</v>
      </c>
      <c r="D32" s="50" t="s">
        <v>47</v>
      </c>
      <c r="E32">
        <f t="shared" si="0"/>
        <v>-3016.9903959735602</v>
      </c>
      <c r="F32">
        <f t="shared" si="1"/>
        <v>-3017</v>
      </c>
      <c r="G32">
        <f t="shared" si="2"/>
        <v>4.8953899997286499E-2</v>
      </c>
      <c r="I32">
        <f t="shared" si="3"/>
        <v>4.8953899997286499E-2</v>
      </c>
      <c r="O32">
        <f t="shared" ca="1" si="4"/>
        <v>-6.6182857860772257E-2</v>
      </c>
      <c r="Q32" s="2">
        <f t="shared" si="5"/>
        <v>12901.026999999998</v>
      </c>
      <c r="R32" s="2"/>
      <c r="S32" s="2"/>
      <c r="T32" s="2"/>
    </row>
    <row r="33" spans="1:20" ht="12.75" customHeight="1">
      <c r="A33" s="50" t="s">
        <v>117</v>
      </c>
      <c r="B33" s="51" t="s">
        <v>49</v>
      </c>
      <c r="C33" s="50">
        <v>27924.602999999999</v>
      </c>
      <c r="D33" s="50" t="s">
        <v>47</v>
      </c>
      <c r="E33">
        <f t="shared" si="0"/>
        <v>-3015.9945603361139</v>
      </c>
      <c r="F33">
        <f t="shared" si="1"/>
        <v>-3016</v>
      </c>
      <c r="G33">
        <f t="shared" si="2"/>
        <v>2.7727199998480501E-2</v>
      </c>
      <c r="I33">
        <f t="shared" si="3"/>
        <v>2.7727199998480501E-2</v>
      </c>
      <c r="O33">
        <f t="shared" ca="1" si="4"/>
        <v>-6.6159568512588918E-2</v>
      </c>
      <c r="Q33" s="2">
        <f t="shared" si="5"/>
        <v>12906.102999999999</v>
      </c>
      <c r="R33" s="2"/>
      <c r="S33" s="2"/>
      <c r="T33" s="2"/>
    </row>
    <row r="34" spans="1:20" ht="12.75" customHeight="1">
      <c r="A34" s="50" t="s">
        <v>117</v>
      </c>
      <c r="B34" s="51" t="s">
        <v>49</v>
      </c>
      <c r="C34" s="50">
        <v>27929.657999999999</v>
      </c>
      <c r="D34" s="50" t="s">
        <v>47</v>
      </c>
      <c r="E34">
        <f t="shared" si="0"/>
        <v>-3015.0028445860571</v>
      </c>
      <c r="F34">
        <f t="shared" si="1"/>
        <v>-3015</v>
      </c>
      <c r="G34">
        <f t="shared" si="2"/>
        <v>-1.4499500000965782E-2</v>
      </c>
      <c r="I34">
        <f t="shared" si="3"/>
        <v>-1.4499500000965782E-2</v>
      </c>
      <c r="O34">
        <f t="shared" ca="1" si="4"/>
        <v>-6.6136279164405565E-2</v>
      </c>
      <c r="Q34" s="2">
        <f t="shared" si="5"/>
        <v>12911.157999999999</v>
      </c>
      <c r="R34" s="2"/>
      <c r="S34" s="2"/>
      <c r="T34" s="2"/>
    </row>
    <row r="35" spans="1:20" ht="12.75" customHeight="1">
      <c r="A35" s="50" t="s">
        <v>117</v>
      </c>
      <c r="B35" s="51" t="s">
        <v>49</v>
      </c>
      <c r="C35" s="50">
        <v>27960.261999999999</v>
      </c>
      <c r="D35" s="50" t="s">
        <v>47</v>
      </c>
      <c r="E35">
        <f t="shared" si="0"/>
        <v>-3008.9987953645464</v>
      </c>
      <c r="F35">
        <f t="shared" si="1"/>
        <v>-3009</v>
      </c>
      <c r="G35">
        <f t="shared" si="2"/>
        <v>6.1402999963320326E-3</v>
      </c>
      <c r="I35">
        <f t="shared" si="3"/>
        <v>6.1402999963320326E-3</v>
      </c>
      <c r="O35">
        <f t="shared" ca="1" si="4"/>
        <v>-6.5996543075305475E-2</v>
      </c>
      <c r="Q35" s="2">
        <f t="shared" si="5"/>
        <v>12941.761999999999</v>
      </c>
      <c r="R35" s="2"/>
      <c r="S35" s="2"/>
      <c r="T35" s="2"/>
    </row>
    <row r="36" spans="1:20" ht="12.75" customHeight="1">
      <c r="A36" s="50" t="s">
        <v>117</v>
      </c>
      <c r="B36" s="51" t="s">
        <v>49</v>
      </c>
      <c r="C36" s="50">
        <v>27965.326000000001</v>
      </c>
      <c r="D36" s="50" t="s">
        <v>47</v>
      </c>
      <c r="E36">
        <f t="shared" si="0"/>
        <v>-3008.0053139484653</v>
      </c>
      <c r="F36">
        <f t="shared" si="1"/>
        <v>-3008</v>
      </c>
      <c r="G36">
        <f t="shared" si="2"/>
        <v>-2.7086399997642729E-2</v>
      </c>
      <c r="I36">
        <f t="shared" si="3"/>
        <v>-2.7086399997642729E-2</v>
      </c>
      <c r="O36">
        <f t="shared" ca="1" si="4"/>
        <v>-6.5973253727122122E-2</v>
      </c>
      <c r="Q36" s="2">
        <f t="shared" si="5"/>
        <v>12946.826000000001</v>
      </c>
      <c r="R36" s="2"/>
      <c r="S36" s="2"/>
      <c r="T36" s="2"/>
    </row>
    <row r="37" spans="1:20" ht="12.75" customHeight="1">
      <c r="A37" s="50" t="s">
        <v>117</v>
      </c>
      <c r="B37" s="51" t="s">
        <v>49</v>
      </c>
      <c r="C37" s="50">
        <v>27970.438999999998</v>
      </c>
      <c r="D37" s="50" t="s">
        <v>47</v>
      </c>
      <c r="E37">
        <f t="shared" si="0"/>
        <v>-3007.0022194618109</v>
      </c>
      <c r="F37">
        <f t="shared" si="1"/>
        <v>-3007</v>
      </c>
      <c r="G37">
        <f t="shared" si="2"/>
        <v>-1.131310000346275E-2</v>
      </c>
      <c r="I37">
        <f t="shared" si="3"/>
        <v>-1.131310000346275E-2</v>
      </c>
      <c r="O37">
        <f t="shared" ca="1" si="4"/>
        <v>-6.5949964378938769E-2</v>
      </c>
      <c r="Q37" s="2">
        <f t="shared" si="5"/>
        <v>12951.938999999998</v>
      </c>
      <c r="R37" s="2"/>
      <c r="S37" s="2"/>
      <c r="T37" s="2"/>
    </row>
    <row r="38" spans="1:20" ht="12.75" customHeight="1">
      <c r="A38" s="50" t="s">
        <v>117</v>
      </c>
      <c r="B38" s="51" t="s">
        <v>49</v>
      </c>
      <c r="C38" s="50">
        <v>27975.578000000001</v>
      </c>
      <c r="D38" s="50" t="s">
        <v>47</v>
      </c>
      <c r="E38">
        <f t="shared" si="0"/>
        <v>-3005.9940241621975</v>
      </c>
      <c r="F38">
        <f t="shared" si="1"/>
        <v>-3006</v>
      </c>
      <c r="G38">
        <f t="shared" si="2"/>
        <v>3.0460199999652104E-2</v>
      </c>
      <c r="I38">
        <f t="shared" si="3"/>
        <v>3.0460199999652104E-2</v>
      </c>
      <c r="O38">
        <f t="shared" ca="1" si="4"/>
        <v>-6.592667503075543E-2</v>
      </c>
      <c r="Q38" s="2">
        <f t="shared" si="5"/>
        <v>12957.078000000001</v>
      </c>
      <c r="R38" s="2"/>
      <c r="S38" s="2"/>
      <c r="T38" s="2"/>
    </row>
    <row r="39" spans="1:20" ht="12.75" customHeight="1">
      <c r="A39" s="50" t="s">
        <v>117</v>
      </c>
      <c r="B39" s="51" t="s">
        <v>49</v>
      </c>
      <c r="C39" s="50">
        <v>27980.670999999998</v>
      </c>
      <c r="D39" s="50" t="s">
        <v>47</v>
      </c>
      <c r="E39">
        <f t="shared" si="0"/>
        <v>-3004.9948533778188</v>
      </c>
      <c r="F39">
        <f t="shared" si="1"/>
        <v>-3005</v>
      </c>
      <c r="G39">
        <f t="shared" si="2"/>
        <v>2.6233499997033505E-2</v>
      </c>
      <c r="I39">
        <f t="shared" si="3"/>
        <v>2.6233499997033505E-2</v>
      </c>
      <c r="O39">
        <f t="shared" ca="1" si="4"/>
        <v>-6.5903385682572077E-2</v>
      </c>
      <c r="Q39" s="2">
        <f t="shared" si="5"/>
        <v>12962.170999999998</v>
      </c>
      <c r="R39" s="2"/>
      <c r="S39" s="2"/>
      <c r="T39" s="2"/>
    </row>
    <row r="40" spans="1:20" ht="12.75" customHeight="1">
      <c r="A40" s="50" t="s">
        <v>117</v>
      </c>
      <c r="B40" s="51" t="s">
        <v>49</v>
      </c>
      <c r="C40" s="50">
        <v>28011.295999999998</v>
      </c>
      <c r="D40" s="50" t="s">
        <v>47</v>
      </c>
      <c r="E40">
        <f t="shared" si="0"/>
        <v>-2998.9866842689189</v>
      </c>
      <c r="F40">
        <f t="shared" si="1"/>
        <v>-2999</v>
      </c>
      <c r="G40">
        <f t="shared" si="2"/>
        <v>6.7873299998609582E-2</v>
      </c>
      <c r="I40">
        <f t="shared" si="3"/>
        <v>6.7873299998609582E-2</v>
      </c>
      <c r="O40">
        <f t="shared" ca="1" si="4"/>
        <v>-6.5763649593471987E-2</v>
      </c>
      <c r="Q40" s="2">
        <f t="shared" si="5"/>
        <v>12992.795999999998</v>
      </c>
      <c r="R40" s="2"/>
      <c r="S40" s="2"/>
      <c r="T40" s="2"/>
    </row>
    <row r="41" spans="1:20" ht="12.75" customHeight="1">
      <c r="A41" s="50" t="s">
        <v>117</v>
      </c>
      <c r="B41" s="51" t="s">
        <v>49</v>
      </c>
      <c r="C41" s="50">
        <v>28021.418000000001</v>
      </c>
      <c r="D41" s="50" t="s">
        <v>47</v>
      </c>
      <c r="E41">
        <f t="shared" si="0"/>
        <v>-2997.0008985474392</v>
      </c>
      <c r="F41">
        <f t="shared" si="1"/>
        <v>-2997</v>
      </c>
      <c r="G41">
        <f t="shared" si="2"/>
        <v>-4.5800999978382606E-3</v>
      </c>
      <c r="I41">
        <f t="shared" si="3"/>
        <v>-4.5800999978382606E-3</v>
      </c>
      <c r="O41">
        <f t="shared" ca="1" si="4"/>
        <v>-6.5717070897105281E-2</v>
      </c>
      <c r="Q41" s="2">
        <f t="shared" si="5"/>
        <v>13002.918000000001</v>
      </c>
      <c r="R41" s="2"/>
      <c r="S41" s="2"/>
      <c r="T41" s="2"/>
    </row>
    <row r="42" spans="1:20" ht="12.75" customHeight="1">
      <c r="A42" s="50" t="s">
        <v>117</v>
      </c>
      <c r="B42" s="51" t="s">
        <v>49</v>
      </c>
      <c r="C42" s="50">
        <v>28036.705999999998</v>
      </c>
      <c r="D42" s="50" t="s">
        <v>47</v>
      </c>
      <c r="E42">
        <f t="shared" si="0"/>
        <v>-2994.0016205282773</v>
      </c>
      <c r="F42">
        <f t="shared" si="1"/>
        <v>-2994</v>
      </c>
      <c r="G42">
        <f t="shared" si="2"/>
        <v>-8.2602000038605183E-3</v>
      </c>
      <c r="I42">
        <f t="shared" si="3"/>
        <v>-8.2602000038605183E-3</v>
      </c>
      <c r="O42">
        <f t="shared" ca="1" si="4"/>
        <v>-6.5647202852555236E-2</v>
      </c>
      <c r="Q42" s="2">
        <f t="shared" si="5"/>
        <v>13018.205999999998</v>
      </c>
      <c r="R42" s="2"/>
      <c r="S42" s="2"/>
      <c r="T42" s="2"/>
    </row>
    <row r="43" spans="1:20" ht="12.75" customHeight="1">
      <c r="A43" s="50" t="s">
        <v>112</v>
      </c>
      <c r="B43" s="51" t="s">
        <v>49</v>
      </c>
      <c r="C43" s="50">
        <v>28128.465</v>
      </c>
      <c r="D43" s="50" t="s">
        <v>47</v>
      </c>
      <c r="E43">
        <f t="shared" si="0"/>
        <v>-2975.9998706747733</v>
      </c>
      <c r="F43">
        <f t="shared" si="1"/>
        <v>-2976</v>
      </c>
      <c r="G43">
        <f t="shared" si="2"/>
        <v>6.5919999906327575E-4</v>
      </c>
      <c r="I43">
        <f t="shared" si="3"/>
        <v>6.5919999906327575E-4</v>
      </c>
      <c r="O43">
        <f t="shared" ca="1" si="4"/>
        <v>-6.5227994585254967E-2</v>
      </c>
      <c r="Q43" s="2">
        <f t="shared" si="5"/>
        <v>13109.965</v>
      </c>
      <c r="R43" s="2"/>
      <c r="S43" s="2"/>
      <c r="T43" s="2"/>
    </row>
    <row r="44" spans="1:20" ht="12.75" customHeight="1">
      <c r="A44" s="50" t="s">
        <v>157</v>
      </c>
      <c r="B44" s="51" t="s">
        <v>49</v>
      </c>
      <c r="C44" s="50">
        <v>29877.040000000001</v>
      </c>
      <c r="D44" s="50" t="s">
        <v>47</v>
      </c>
      <c r="E44">
        <f t="shared" si="0"/>
        <v>-2632.955485381884</v>
      </c>
      <c r="F44">
        <f t="shared" si="1"/>
        <v>-2633</v>
      </c>
      <c r="G44">
        <f t="shared" si="2"/>
        <v>0.22690110000257846</v>
      </c>
      <c r="I44">
        <f t="shared" si="3"/>
        <v>0.22690110000257846</v>
      </c>
      <c r="O44">
        <f t="shared" ca="1" si="4"/>
        <v>-5.7239748158366327E-2</v>
      </c>
      <c r="Q44" s="2">
        <f t="shared" si="5"/>
        <v>14858.54</v>
      </c>
      <c r="R44" s="2"/>
      <c r="S44" s="2"/>
      <c r="T44" s="2"/>
    </row>
    <row r="45" spans="1:20" ht="12.75" customHeight="1">
      <c r="A45" s="50" t="s">
        <v>162</v>
      </c>
      <c r="B45" s="51" t="s">
        <v>49</v>
      </c>
      <c r="C45" s="50">
        <v>37879.449000000001</v>
      </c>
      <c r="D45" s="50" t="s">
        <v>47</v>
      </c>
      <c r="E45">
        <f t="shared" si="0"/>
        <v>-1063.0019653628513</v>
      </c>
      <c r="F45">
        <f t="shared" si="1"/>
        <v>-1063</v>
      </c>
      <c r="G45">
        <f t="shared" si="2"/>
        <v>-1.0017900000093505E-2</v>
      </c>
      <c r="I45">
        <f t="shared" si="3"/>
        <v>-1.0017900000093505E-2</v>
      </c>
      <c r="O45">
        <f t="shared" ca="1" si="4"/>
        <v>-2.0675471510508737E-2</v>
      </c>
      <c r="Q45" s="2">
        <f t="shared" si="5"/>
        <v>22860.949000000001</v>
      </c>
      <c r="R45" s="2"/>
      <c r="S45" s="2"/>
      <c r="T45" s="2"/>
    </row>
    <row r="46" spans="1:20" ht="12.75" customHeight="1">
      <c r="A46" s="50" t="s">
        <v>162</v>
      </c>
      <c r="B46" s="51" t="s">
        <v>49</v>
      </c>
      <c r="C46" s="50">
        <v>38399.347000000002</v>
      </c>
      <c r="D46" s="50" t="s">
        <v>47</v>
      </c>
      <c r="E46">
        <f t="shared" si="0"/>
        <v>-961.00571708925554</v>
      </c>
      <c r="F46">
        <f t="shared" si="1"/>
        <v>-961</v>
      </c>
      <c r="G46">
        <f t="shared" si="2"/>
        <v>-2.9141300001356285E-2</v>
      </c>
      <c r="I46">
        <f t="shared" si="3"/>
        <v>-2.9141300001356285E-2</v>
      </c>
      <c r="O46">
        <f t="shared" ca="1" si="4"/>
        <v>-1.8299957995807161E-2</v>
      </c>
      <c r="Q46" s="2">
        <f t="shared" si="5"/>
        <v>23380.847000000002</v>
      </c>
      <c r="R46" s="2"/>
      <c r="S46" s="2"/>
      <c r="T46" s="2"/>
    </row>
    <row r="47" spans="1:20" ht="12.75" customHeight="1">
      <c r="A47" s="50" t="s">
        <v>162</v>
      </c>
      <c r="B47" s="51" t="s">
        <v>49</v>
      </c>
      <c r="C47" s="50">
        <v>38399.351999999999</v>
      </c>
      <c r="D47" s="50" t="s">
        <v>47</v>
      </c>
      <c r="E47">
        <f t="shared" si="0"/>
        <v>-961.00473616368731</v>
      </c>
      <c r="F47">
        <f t="shared" si="1"/>
        <v>-961</v>
      </c>
      <c r="G47">
        <f t="shared" si="2"/>
        <v>-2.414130000397563E-2</v>
      </c>
      <c r="I47">
        <f t="shared" si="3"/>
        <v>-2.414130000397563E-2</v>
      </c>
      <c r="O47">
        <f t="shared" ca="1" si="4"/>
        <v>-1.8299957995807161E-2</v>
      </c>
      <c r="Q47" s="2">
        <f t="shared" si="5"/>
        <v>23380.851999999999</v>
      </c>
      <c r="R47" s="2"/>
      <c r="S47" s="2"/>
      <c r="T47" s="2"/>
    </row>
    <row r="48" spans="1:20" ht="12.75" customHeight="1">
      <c r="A48" s="50" t="s">
        <v>174</v>
      </c>
      <c r="B48" s="51" t="s">
        <v>49</v>
      </c>
      <c r="C48" s="50">
        <v>39709.349000000002</v>
      </c>
      <c r="D48" s="50" t="s">
        <v>47</v>
      </c>
      <c r="E48">
        <f t="shared" si="0"/>
        <v>-704.0028256934304</v>
      </c>
      <c r="F48">
        <f t="shared" si="1"/>
        <v>-704</v>
      </c>
      <c r="G48">
        <f t="shared" si="2"/>
        <v>-1.4403200002561789E-2</v>
      </c>
      <c r="I48">
        <f t="shared" si="3"/>
        <v>-1.4403200002561789E-2</v>
      </c>
      <c r="O48">
        <f t="shared" ca="1" si="4"/>
        <v>-1.2314595512686523E-2</v>
      </c>
      <c r="Q48" s="2">
        <f t="shared" si="5"/>
        <v>24690.849000000002</v>
      </c>
      <c r="R48" s="2"/>
      <c r="S48" s="2"/>
      <c r="T48" s="2"/>
    </row>
    <row r="49" spans="1:34" ht="12.75" customHeight="1">
      <c r="A49" s="50" t="s">
        <v>180</v>
      </c>
      <c r="B49" s="51" t="s">
        <v>49</v>
      </c>
      <c r="C49" s="50">
        <v>41269.112000000001</v>
      </c>
      <c r="D49" s="50" t="s">
        <v>47</v>
      </c>
      <c r="E49">
        <f t="shared" si="0"/>
        <v>-398.00054409979458</v>
      </c>
      <c r="F49">
        <f t="shared" si="1"/>
        <v>-398</v>
      </c>
      <c r="G49">
        <f t="shared" si="2"/>
        <v>-2.7734000032069162E-3</v>
      </c>
      <c r="I49">
        <f t="shared" si="3"/>
        <v>-2.7734000032069162E-3</v>
      </c>
      <c r="O49">
        <f t="shared" ca="1" si="4"/>
        <v>-5.1880549685817973E-3</v>
      </c>
      <c r="Q49" s="2">
        <f t="shared" si="5"/>
        <v>26250.612000000001</v>
      </c>
      <c r="R49" s="2"/>
      <c r="S49" s="2"/>
      <c r="T49" s="2"/>
    </row>
    <row r="50" spans="1:34" ht="12.75" customHeight="1">
      <c r="A50" s="50" t="s">
        <v>180</v>
      </c>
      <c r="B50" s="51" t="s">
        <v>49</v>
      </c>
      <c r="C50" s="50">
        <v>42395.601000000002</v>
      </c>
      <c r="D50" s="50" t="s">
        <v>47</v>
      </c>
      <c r="E50">
        <f t="shared" si="0"/>
        <v>-177.00017148540775</v>
      </c>
      <c r="F50">
        <f t="shared" si="1"/>
        <v>-177</v>
      </c>
      <c r="G50">
        <f t="shared" si="2"/>
        <v>-8.7409999832743779E-4</v>
      </c>
      <c r="I50">
        <f t="shared" si="3"/>
        <v>-8.7409999832743779E-4</v>
      </c>
      <c r="O50">
        <f t="shared" ca="1" si="4"/>
        <v>-4.1109020061715421E-5</v>
      </c>
      <c r="Q50" s="2">
        <f t="shared" si="5"/>
        <v>27377.101000000002</v>
      </c>
      <c r="R50" s="2"/>
      <c r="S50" s="2"/>
      <c r="T50" s="2"/>
    </row>
    <row r="51" spans="1:34" ht="12.75" customHeight="1">
      <c r="A51" t="s">
        <v>14</v>
      </c>
      <c r="B51" s="5"/>
      <c r="C51" s="28">
        <v>43297.811000000002</v>
      </c>
      <c r="D51" s="28" t="s">
        <v>16</v>
      </c>
      <c r="E51">
        <f t="shared" si="0"/>
        <v>0</v>
      </c>
      <c r="F51">
        <f t="shared" si="1"/>
        <v>0</v>
      </c>
      <c r="G51">
        <f t="shared" si="2"/>
        <v>0</v>
      </c>
      <c r="H51">
        <f>+G51</f>
        <v>0</v>
      </c>
      <c r="O51">
        <f t="shared" ca="1" si="4"/>
        <v>4.0811056083910197E-3</v>
      </c>
      <c r="Q51" s="2">
        <f t="shared" si="5"/>
        <v>28279.311000000002</v>
      </c>
      <c r="R51" s="2"/>
      <c r="S51" s="2"/>
      <c r="T51" s="2"/>
    </row>
    <row r="52" spans="1:34" ht="12.75" customHeight="1">
      <c r="A52" s="50" t="s">
        <v>191</v>
      </c>
      <c r="B52" s="51" t="s">
        <v>49</v>
      </c>
      <c r="C52" s="50">
        <v>43430.35</v>
      </c>
      <c r="D52" s="50" t="s">
        <v>47</v>
      </c>
      <c r="E52">
        <f t="shared" si="0"/>
        <v>26.002178792635814</v>
      </c>
      <c r="F52">
        <f t="shared" si="1"/>
        <v>26</v>
      </c>
      <c r="G52">
        <f t="shared" si="2"/>
        <v>1.110579999658512E-2</v>
      </c>
      <c r="I52">
        <f>+G52</f>
        <v>1.110579999658512E-2</v>
      </c>
      <c r="O52">
        <f t="shared" ca="1" si="4"/>
        <v>4.6866286611580883E-3</v>
      </c>
      <c r="Q52" s="2">
        <f t="shared" si="5"/>
        <v>28411.85</v>
      </c>
      <c r="R52" s="2"/>
      <c r="S52" s="2"/>
      <c r="T52" s="2"/>
    </row>
    <row r="53" spans="1:34" ht="12.75" customHeight="1">
      <c r="A53" t="s">
        <v>31</v>
      </c>
      <c r="B53" s="5"/>
      <c r="C53" s="29">
        <v>43787.154999999999</v>
      </c>
      <c r="D53" s="28"/>
      <c r="E53">
        <f t="shared" ref="E53:E65" si="6">+(C53-C$7)/C$8</f>
        <v>96.002008307772016</v>
      </c>
      <c r="F53">
        <f t="shared" ref="F53:F65" si="7">ROUND(2*E53,0)/2</f>
        <v>96</v>
      </c>
      <c r="G53">
        <f t="shared" si="2"/>
        <v>1.023680000071181E-2</v>
      </c>
      <c r="I53">
        <f>+G53</f>
        <v>1.023680000071181E-2</v>
      </c>
      <c r="O53">
        <f t="shared" ref="O53:O65" ca="1" si="8">+C$11+C$12*F53</f>
        <v>6.316883033992503E-3</v>
      </c>
      <c r="Q53" s="2">
        <f t="shared" ref="Q53:Q65" si="9">+C53-15018.5</f>
        <v>28768.654999999999</v>
      </c>
      <c r="R53" s="2"/>
      <c r="S53" s="2"/>
      <c r="T53" s="2"/>
      <c r="AD53" t="s">
        <v>30</v>
      </c>
      <c r="AH53" t="s">
        <v>32</v>
      </c>
    </row>
    <row r="54" spans="1:34" ht="12.75" customHeight="1">
      <c r="A54" t="s">
        <v>31</v>
      </c>
      <c r="B54" s="5"/>
      <c r="C54" s="29">
        <v>44582.328999999998</v>
      </c>
      <c r="D54" s="28"/>
      <c r="E54">
        <f t="shared" si="6"/>
        <v>252.00330995676458</v>
      </c>
      <c r="F54">
        <f t="shared" si="7"/>
        <v>252</v>
      </c>
      <c r="G54">
        <f t="shared" si="2"/>
        <v>1.6871599997102749E-2</v>
      </c>
      <c r="I54">
        <f>+G54</f>
        <v>1.6871599997102749E-2</v>
      </c>
      <c r="O54">
        <f t="shared" ca="1" si="8"/>
        <v>9.9500213505949141E-3</v>
      </c>
      <c r="Q54" s="2">
        <f t="shared" si="9"/>
        <v>29563.828999999998</v>
      </c>
      <c r="R54" s="2"/>
      <c r="S54" s="2"/>
      <c r="T54" s="2"/>
      <c r="AD54" t="s">
        <v>30</v>
      </c>
      <c r="AH54" t="s">
        <v>32</v>
      </c>
    </row>
    <row r="55" spans="1:34" ht="12.75" customHeight="1">
      <c r="A55" t="s">
        <v>34</v>
      </c>
      <c r="B55" s="5"/>
      <c r="C55" s="29">
        <v>44852.432000000001</v>
      </c>
      <c r="D55" s="28"/>
      <c r="E55">
        <f t="shared" si="6"/>
        <v>304.99349773868192</v>
      </c>
      <c r="F55">
        <f t="shared" si="7"/>
        <v>305</v>
      </c>
      <c r="O55">
        <f t="shared" ca="1" si="8"/>
        <v>1.1184356804312399E-2</v>
      </c>
      <c r="Q55" s="2">
        <f t="shared" si="9"/>
        <v>29833.932000000001</v>
      </c>
      <c r="R55" s="2"/>
      <c r="S55" s="2"/>
      <c r="T55" s="2"/>
      <c r="U55" s="10">
        <v>-3.3143500004371163E-2</v>
      </c>
      <c r="AD55" t="s">
        <v>33</v>
      </c>
      <c r="AH55" t="s">
        <v>32</v>
      </c>
    </row>
    <row r="56" spans="1:34" ht="12.75" customHeight="1">
      <c r="A56" t="s">
        <v>31</v>
      </c>
      <c r="B56" s="5"/>
      <c r="C56" s="29">
        <v>44934.036</v>
      </c>
      <c r="D56" s="28"/>
      <c r="E56">
        <f t="shared" si="6"/>
        <v>321.00298776195268</v>
      </c>
      <c r="F56">
        <f t="shared" si="7"/>
        <v>321</v>
      </c>
      <c r="G56">
        <f>+C56-(C$7+F56*C$8)</f>
        <v>1.5229299999191426E-2</v>
      </c>
      <c r="I56">
        <f>+G56</f>
        <v>1.5229299999191426E-2</v>
      </c>
      <c r="O56">
        <f t="shared" ca="1" si="8"/>
        <v>1.1556986375245978E-2</v>
      </c>
      <c r="Q56" s="2">
        <f t="shared" si="9"/>
        <v>29915.536</v>
      </c>
      <c r="R56" s="2"/>
      <c r="S56" s="2"/>
      <c r="T56" s="2"/>
      <c r="AD56" t="s">
        <v>30</v>
      </c>
      <c r="AH56" t="s">
        <v>32</v>
      </c>
    </row>
    <row r="57" spans="1:34" ht="12.75" customHeight="1">
      <c r="A57" t="s">
        <v>35</v>
      </c>
      <c r="B57" s="5" t="s">
        <v>41</v>
      </c>
      <c r="C57" s="29">
        <v>45191.37</v>
      </c>
      <c r="D57" s="28"/>
      <c r="E57">
        <f t="shared" si="6"/>
        <v>371.48808782626855</v>
      </c>
      <c r="F57">
        <f t="shared" si="7"/>
        <v>371.5</v>
      </c>
      <c r="O57">
        <f t="shared" ca="1" si="8"/>
        <v>1.2733098458505093E-2</v>
      </c>
      <c r="Q57" s="2">
        <f t="shared" si="9"/>
        <v>30172.870000000003</v>
      </c>
      <c r="R57" s="2"/>
      <c r="S57" s="2"/>
      <c r="T57" s="2"/>
      <c r="U57" s="10">
        <v>-6.0719050001353025E-2</v>
      </c>
      <c r="AD57" t="s">
        <v>33</v>
      </c>
      <c r="AH57" t="s">
        <v>32</v>
      </c>
    </row>
    <row r="58" spans="1:34" ht="12.75" customHeight="1">
      <c r="A58" s="31" t="s">
        <v>37</v>
      </c>
      <c r="B58" s="32" t="s">
        <v>41</v>
      </c>
      <c r="C58" s="33">
        <v>45879.5</v>
      </c>
      <c r="D58" s="34"/>
      <c r="E58" s="31">
        <f t="shared" si="6"/>
        <v>506.48895015793556</v>
      </c>
      <c r="F58">
        <f t="shared" si="7"/>
        <v>506.5</v>
      </c>
      <c r="O58">
        <f t="shared" ca="1" si="8"/>
        <v>1.5877160463257177E-2</v>
      </c>
      <c r="Q58" s="2">
        <f t="shared" si="9"/>
        <v>30861</v>
      </c>
      <c r="R58" s="2"/>
      <c r="S58" s="2"/>
      <c r="T58" s="2"/>
      <c r="U58" s="10">
        <v>-5.6323550001252443E-2</v>
      </c>
      <c r="AD58" t="s">
        <v>30</v>
      </c>
      <c r="AE58">
        <v>7</v>
      </c>
      <c r="AH58" t="s">
        <v>32</v>
      </c>
    </row>
    <row r="59" spans="1:34" ht="12.75" customHeight="1">
      <c r="A59" s="31" t="s">
        <v>40</v>
      </c>
      <c r="B59" s="32"/>
      <c r="C59" s="33">
        <v>46055.389000000003</v>
      </c>
      <c r="D59" s="34"/>
      <c r="E59" s="31">
        <f t="shared" si="6"/>
        <v>540.99575363206839</v>
      </c>
      <c r="F59">
        <f t="shared" si="7"/>
        <v>541</v>
      </c>
      <c r="O59">
        <f t="shared" ca="1" si="8"/>
        <v>1.6680642975582714E-2</v>
      </c>
      <c r="Q59" s="2">
        <f t="shared" si="9"/>
        <v>31036.889000000003</v>
      </c>
      <c r="R59" s="2"/>
      <c r="S59" s="2"/>
      <c r="T59" s="2"/>
      <c r="U59" s="10">
        <v>-2.164469999843277E-2</v>
      </c>
      <c r="AD59" t="s">
        <v>33</v>
      </c>
      <c r="AE59">
        <v>10</v>
      </c>
    </row>
    <row r="60" spans="1:34" ht="12.75" customHeight="1">
      <c r="A60" s="31" t="s">
        <v>31</v>
      </c>
      <c r="B60" s="32"/>
      <c r="C60" s="33">
        <v>46738.461000000003</v>
      </c>
      <c r="D60" s="34"/>
      <c r="E60" s="31">
        <f t="shared" si="6"/>
        <v>675.00431165833788</v>
      </c>
      <c r="F60">
        <f t="shared" si="7"/>
        <v>675</v>
      </c>
      <c r="G60">
        <f>+C60-(C$7+F60*C$8)</f>
        <v>2.1977500000502914E-2</v>
      </c>
      <c r="I60">
        <f>+G60</f>
        <v>2.1977500000502914E-2</v>
      </c>
      <c r="O60">
        <f t="shared" ca="1" si="8"/>
        <v>1.9801415632151449E-2</v>
      </c>
      <c r="Q60" s="2">
        <f t="shared" si="9"/>
        <v>31719.961000000003</v>
      </c>
      <c r="R60" s="2"/>
      <c r="S60" s="2"/>
      <c r="T60" s="2"/>
      <c r="AD60" t="s">
        <v>30</v>
      </c>
    </row>
    <row r="61" spans="1:34" ht="12.75" customHeight="1">
      <c r="A61" s="31" t="s">
        <v>31</v>
      </c>
      <c r="B61" s="32"/>
      <c r="C61" s="33">
        <v>47207.409</v>
      </c>
      <c r="D61" s="34"/>
      <c r="E61" s="31">
        <f t="shared" si="6"/>
        <v>767.00492838586092</v>
      </c>
      <c r="F61">
        <f t="shared" si="7"/>
        <v>767</v>
      </c>
      <c r="G61">
        <f>+C61-(C$7+F61*C$8)</f>
        <v>2.5121099999523722E-2</v>
      </c>
      <c r="I61">
        <f>+G61</f>
        <v>2.5121099999523722E-2</v>
      </c>
      <c r="O61">
        <f t="shared" ca="1" si="8"/>
        <v>2.1944035665019537E-2</v>
      </c>
      <c r="Q61" s="2">
        <f t="shared" si="9"/>
        <v>32188.909</v>
      </c>
      <c r="R61" s="2"/>
      <c r="S61" s="2"/>
      <c r="T61" s="2"/>
      <c r="AD61" t="s">
        <v>30</v>
      </c>
      <c r="AF61" t="s">
        <v>36</v>
      </c>
      <c r="AH61" t="s">
        <v>38</v>
      </c>
    </row>
    <row r="62" spans="1:34" ht="12.75" customHeight="1">
      <c r="A62" s="35" t="s">
        <v>46</v>
      </c>
      <c r="B62" s="36"/>
      <c r="C62" s="35">
        <v>49623.485000000001</v>
      </c>
      <c r="D62" s="35" t="s">
        <v>47</v>
      </c>
      <c r="E62" s="31">
        <f t="shared" si="6"/>
        <v>1241.0030732986625</v>
      </c>
      <c r="F62">
        <f t="shared" si="7"/>
        <v>1241</v>
      </c>
      <c r="O62">
        <f t="shared" ca="1" si="8"/>
        <v>3.2983186703926859E-2</v>
      </c>
      <c r="Q62" s="2">
        <f t="shared" si="9"/>
        <v>34604.985000000001</v>
      </c>
      <c r="R62" s="2"/>
      <c r="S62" s="2"/>
      <c r="T62" s="2"/>
      <c r="U62" s="10">
        <v>1.5665300001273863E-2</v>
      </c>
      <c r="AF62" t="s">
        <v>39</v>
      </c>
      <c r="AH62" t="s">
        <v>38</v>
      </c>
    </row>
    <row r="63" spans="1:34" ht="12.75" customHeight="1">
      <c r="A63" s="50" t="s">
        <v>235</v>
      </c>
      <c r="B63" s="51" t="s">
        <v>49</v>
      </c>
      <c r="C63" s="50">
        <v>51417.718000000001</v>
      </c>
      <c r="D63" s="50" t="s">
        <v>47</v>
      </c>
      <c r="E63">
        <f t="shared" si="6"/>
        <v>1593.0048785156052</v>
      </c>
      <c r="F63">
        <f t="shared" si="7"/>
        <v>1593</v>
      </c>
      <c r="O63">
        <f t="shared" ca="1" si="8"/>
        <v>4.1181037264465634E-2</v>
      </c>
      <c r="Q63" s="2">
        <f t="shared" si="9"/>
        <v>36399.218000000001</v>
      </c>
      <c r="R63" s="2"/>
      <c r="S63" s="2"/>
      <c r="T63" s="2"/>
      <c r="U63">
        <f>+C63-(C$7+F63*C$8)</f>
        <v>2.4866899999324232E-2</v>
      </c>
      <c r="AH63" t="s">
        <v>32</v>
      </c>
    </row>
    <row r="64" spans="1:34" ht="12.75" customHeight="1">
      <c r="A64" s="50" t="s">
        <v>240</v>
      </c>
      <c r="B64" s="51" t="s">
        <v>49</v>
      </c>
      <c r="C64" s="50">
        <v>52080.375999999997</v>
      </c>
      <c r="D64" s="50" t="s">
        <v>47</v>
      </c>
      <c r="E64">
        <f t="shared" si="6"/>
        <v>1723.0085136295772</v>
      </c>
      <c r="F64">
        <f t="shared" si="7"/>
        <v>1723</v>
      </c>
      <c r="G64">
        <f t="shared" ref="G64:G74" si="10">+C64-(C$7+F64*C$8)</f>
        <v>4.3395899992901832E-2</v>
      </c>
      <c r="I64">
        <f>+G64</f>
        <v>4.3395899992901832E-2</v>
      </c>
      <c r="O64">
        <f t="shared" ca="1" si="8"/>
        <v>4.4208652528300973E-2</v>
      </c>
      <c r="Q64" s="2">
        <f t="shared" si="9"/>
        <v>37061.875999999997</v>
      </c>
      <c r="R64" s="2"/>
      <c r="S64" s="2"/>
      <c r="T64" s="2"/>
    </row>
    <row r="65" spans="1:20" s="63" customFormat="1" ht="12" customHeight="1">
      <c r="A65" s="50" t="s">
        <v>243</v>
      </c>
      <c r="B65" s="51" t="s">
        <v>49</v>
      </c>
      <c r="C65" s="50">
        <v>52860.256999999998</v>
      </c>
      <c r="D65" s="50" t="s">
        <v>47</v>
      </c>
      <c r="E65" s="63">
        <f t="shared" si="6"/>
        <v>1876.0095563338384</v>
      </c>
      <c r="F65" s="63">
        <f t="shared" si="7"/>
        <v>1876</v>
      </c>
      <c r="G65" s="63">
        <f t="shared" si="10"/>
        <v>4.8710799994296394E-2</v>
      </c>
      <c r="I65" s="63">
        <f>+G65</f>
        <v>4.8710799994296394E-2</v>
      </c>
      <c r="O65" s="63">
        <f t="shared" ca="1" si="8"/>
        <v>4.7771922800353341E-2</v>
      </c>
      <c r="Q65" s="64">
        <f t="shared" si="9"/>
        <v>37841.756999999998</v>
      </c>
      <c r="R65" s="64"/>
      <c r="S65" s="64"/>
      <c r="T65" s="64"/>
    </row>
    <row r="66" spans="1:20" s="63" customFormat="1" ht="12" customHeight="1">
      <c r="A66" s="35" t="s">
        <v>45</v>
      </c>
      <c r="B66" s="36"/>
      <c r="C66" s="35">
        <v>53635.031999999999</v>
      </c>
      <c r="D66" s="35">
        <v>9.0000000000000011E-3</v>
      </c>
      <c r="E66" s="65">
        <f t="shared" ref="E66:E74" si="11">+(C66-C$7)/C$8</f>
        <v>2028.0088778472414</v>
      </c>
      <c r="F66" s="63">
        <f t="shared" ref="F66:F75" si="12">ROUND(2*E66,0)/2</f>
        <v>2028</v>
      </c>
      <c r="G66" s="63">
        <f t="shared" si="10"/>
        <v>4.5252399999299087E-2</v>
      </c>
      <c r="H66" s="63">
        <f>+G66</f>
        <v>4.5252399999299087E-2</v>
      </c>
      <c r="O66" s="63">
        <f t="shared" ref="O66:O74" ca="1" si="13">+C$11+C$12*F66</f>
        <v>5.1311903724222355E-2</v>
      </c>
      <c r="Q66" s="64">
        <f t="shared" ref="Q66:Q74" si="14">+C66-15018.5</f>
        <v>38616.531999999999</v>
      </c>
      <c r="R66" s="64"/>
      <c r="S66" s="64"/>
      <c r="T66" s="64"/>
    </row>
    <row r="67" spans="1:20" s="63" customFormat="1" ht="12" customHeight="1">
      <c r="A67" s="35" t="s">
        <v>48</v>
      </c>
      <c r="B67" s="36" t="s">
        <v>49</v>
      </c>
      <c r="C67" s="35">
        <v>53818.535620000002</v>
      </c>
      <c r="D67" s="35">
        <v>2.0000000000000001E-4</v>
      </c>
      <c r="E67" s="65">
        <f t="shared" si="11"/>
        <v>2064.0095564123135</v>
      </c>
      <c r="F67" s="63">
        <f t="shared" si="12"/>
        <v>2064</v>
      </c>
      <c r="G67" s="63">
        <f t="shared" si="10"/>
        <v>4.8711200004618149E-2</v>
      </c>
      <c r="K67" s="63">
        <f>+G67</f>
        <v>4.8711200004618149E-2</v>
      </c>
      <c r="O67" s="63">
        <f t="shared" ca="1" si="13"/>
        <v>5.2150320258822908E-2</v>
      </c>
      <c r="Q67" s="64">
        <f t="shared" si="14"/>
        <v>38800.035620000002</v>
      </c>
      <c r="R67" s="64"/>
      <c r="S67" s="64"/>
      <c r="T67" s="64"/>
    </row>
    <row r="68" spans="1:20" s="63" customFormat="1" ht="12" customHeight="1">
      <c r="A68" s="35" t="s">
        <v>59</v>
      </c>
      <c r="B68" s="36" t="s">
        <v>49</v>
      </c>
      <c r="C68" s="35">
        <v>56219.346100000002</v>
      </c>
      <c r="D68" s="35">
        <v>2E-3</v>
      </c>
      <c r="E68" s="65">
        <f t="shared" si="11"/>
        <v>2535.0128335473091</v>
      </c>
      <c r="F68" s="63">
        <f t="shared" si="12"/>
        <v>2535</v>
      </c>
      <c r="G68" s="63">
        <f t="shared" si="10"/>
        <v>6.541550000110874E-2</v>
      </c>
      <c r="J68" s="63">
        <f>+G68</f>
        <v>6.541550000110874E-2</v>
      </c>
      <c r="O68" s="63">
        <f t="shared" ca="1" si="13"/>
        <v>6.3119603253180195E-2</v>
      </c>
      <c r="Q68" s="64">
        <f t="shared" si="14"/>
        <v>41200.846100000002</v>
      </c>
      <c r="R68" s="64"/>
      <c r="S68" s="64"/>
      <c r="T68" s="64"/>
    </row>
    <row r="69" spans="1:20" s="63" customFormat="1" ht="12" customHeight="1">
      <c r="A69" s="66" t="s">
        <v>60</v>
      </c>
      <c r="B69" s="67" t="s">
        <v>49</v>
      </c>
      <c r="C69" s="35">
        <v>56596.540500000003</v>
      </c>
      <c r="D69" s="55">
        <v>1E-3</v>
      </c>
      <c r="E69" s="65">
        <f t="shared" si="11"/>
        <v>2609.0127598209438</v>
      </c>
      <c r="F69" s="63">
        <f t="shared" si="12"/>
        <v>2609</v>
      </c>
      <c r="G69" s="63">
        <f t="shared" si="10"/>
        <v>6.5039699999033473E-2</v>
      </c>
      <c r="J69" s="63">
        <f>+G69</f>
        <v>6.5039699999033473E-2</v>
      </c>
      <c r="O69" s="63">
        <f t="shared" ca="1" si="13"/>
        <v>6.4843015018748007E-2</v>
      </c>
      <c r="Q69" s="64">
        <f t="shared" si="14"/>
        <v>41578.040500000003</v>
      </c>
      <c r="R69" s="64"/>
      <c r="S69" s="64"/>
      <c r="T69" s="64"/>
    </row>
    <row r="70" spans="1:20" s="63" customFormat="1" ht="12" customHeight="1">
      <c r="A70" s="52" t="s">
        <v>62</v>
      </c>
      <c r="B70" s="53" t="s">
        <v>49</v>
      </c>
      <c r="C70" s="54">
        <v>56856.497000000003</v>
      </c>
      <c r="D70" s="54">
        <v>7.0000000000000001E-3</v>
      </c>
      <c r="E70" s="65">
        <f t="shared" si="11"/>
        <v>2660.0123553460944</v>
      </c>
      <c r="F70" s="63">
        <f t="shared" si="12"/>
        <v>2660</v>
      </c>
      <c r="G70" s="63">
        <f t="shared" si="10"/>
        <v>6.2978000001749024E-2</v>
      </c>
      <c r="I70" s="63">
        <f>+G70</f>
        <v>6.2978000001749024E-2</v>
      </c>
      <c r="O70" s="63">
        <f t="shared" ca="1" si="13"/>
        <v>6.6030771776098784E-2</v>
      </c>
      <c r="Q70" s="64">
        <f t="shared" si="14"/>
        <v>41837.997000000003</v>
      </c>
      <c r="R70" s="64"/>
      <c r="S70" s="64"/>
      <c r="T70" s="64"/>
    </row>
    <row r="71" spans="1:20" s="63" customFormat="1" ht="12" customHeight="1">
      <c r="A71" s="55" t="s">
        <v>61</v>
      </c>
      <c r="B71" s="36"/>
      <c r="C71" s="55">
        <v>56907.476900000001</v>
      </c>
      <c r="D71" s="55">
        <v>2.2800000000000001E-2</v>
      </c>
      <c r="E71" s="65">
        <f t="shared" si="11"/>
        <v>2670.0138528270677</v>
      </c>
      <c r="F71" s="63">
        <f t="shared" si="12"/>
        <v>2670</v>
      </c>
      <c r="G71" s="63">
        <f t="shared" si="10"/>
        <v>7.0610999995551538E-2</v>
      </c>
      <c r="J71" s="63">
        <f>+G71</f>
        <v>7.0610999995551538E-2</v>
      </c>
      <c r="O71" s="63">
        <f t="shared" ca="1" si="13"/>
        <v>6.6263665257932272E-2</v>
      </c>
      <c r="Q71" s="64">
        <f t="shared" si="14"/>
        <v>41888.976900000001</v>
      </c>
      <c r="R71" s="64"/>
      <c r="S71" s="64"/>
      <c r="T71" s="64"/>
    </row>
    <row r="72" spans="1:20" s="63" customFormat="1" ht="12" customHeight="1">
      <c r="A72" s="55" t="s">
        <v>61</v>
      </c>
      <c r="B72" s="36"/>
      <c r="C72" s="55">
        <v>56930.4182</v>
      </c>
      <c r="D72" s="55">
        <v>2.3900000000000001E-2</v>
      </c>
      <c r="E72" s="65">
        <f t="shared" si="11"/>
        <v>2674.5145943773696</v>
      </c>
      <c r="F72" s="63">
        <f t="shared" si="12"/>
        <v>2674.5</v>
      </c>
      <c r="G72" s="63">
        <f t="shared" si="10"/>
        <v>7.4390850000781938E-2</v>
      </c>
      <c r="J72" s="63">
        <f>+G72</f>
        <v>7.4390850000781938E-2</v>
      </c>
      <c r="O72" s="63">
        <f t="shared" ca="1" si="13"/>
        <v>6.6368467324757346E-2</v>
      </c>
      <c r="Q72" s="64">
        <f t="shared" si="14"/>
        <v>41911.9182</v>
      </c>
      <c r="R72" s="64"/>
      <c r="S72" s="64"/>
      <c r="T72" s="64"/>
    </row>
    <row r="73" spans="1:20" s="63" customFormat="1" ht="12" customHeight="1">
      <c r="A73" s="56" t="s">
        <v>1</v>
      </c>
      <c r="B73" s="57" t="s">
        <v>49</v>
      </c>
      <c r="C73" s="58">
        <v>57246.458599999998</v>
      </c>
      <c r="D73" s="58">
        <v>3.0200000000000001E-2</v>
      </c>
      <c r="E73" s="65">
        <f t="shared" si="11"/>
        <v>2736.5170162041245</v>
      </c>
      <c r="F73" s="63">
        <f t="shared" si="12"/>
        <v>2736.5</v>
      </c>
      <c r="G73" s="63">
        <f t="shared" si="10"/>
        <v>8.6735449993284419E-2</v>
      </c>
      <c r="K73" s="63">
        <f>+G73</f>
        <v>8.6735449993284419E-2</v>
      </c>
      <c r="O73" s="63">
        <f t="shared" ca="1" si="13"/>
        <v>6.7812406912124965E-2</v>
      </c>
      <c r="Q73" s="64">
        <f t="shared" si="14"/>
        <v>42227.958599999998</v>
      </c>
    </row>
    <row r="74" spans="1:20" s="63" customFormat="1" ht="12" customHeight="1">
      <c r="A74" s="56" t="s">
        <v>1</v>
      </c>
      <c r="B74" s="57" t="s">
        <v>49</v>
      </c>
      <c r="C74" s="58">
        <v>57297.421699999999</v>
      </c>
      <c r="D74" s="58">
        <v>1.9900000000000001E-2</v>
      </c>
      <c r="E74" s="65">
        <f t="shared" si="11"/>
        <v>2746.515217775187</v>
      </c>
      <c r="F74" s="63">
        <f t="shared" si="12"/>
        <v>2746.5</v>
      </c>
      <c r="G74" s="63">
        <f t="shared" si="10"/>
        <v>7.7568449996761046E-2</v>
      </c>
      <c r="K74" s="63">
        <f>+G74</f>
        <v>7.7568449996761046E-2</v>
      </c>
      <c r="O74" s="63">
        <f t="shared" ca="1" si="13"/>
        <v>6.8045300393958452E-2</v>
      </c>
      <c r="Q74" s="64">
        <f t="shared" si="14"/>
        <v>42278.921699999999</v>
      </c>
    </row>
    <row r="75" spans="1:20" s="63" customFormat="1" ht="12" customHeight="1">
      <c r="A75" s="59" t="s">
        <v>0</v>
      </c>
      <c r="B75" s="72" t="s">
        <v>49</v>
      </c>
      <c r="C75" s="60">
        <v>57901.447899999999</v>
      </c>
      <c r="D75" s="60">
        <v>2.5000000000000001E-3</v>
      </c>
      <c r="E75" s="65">
        <f>+(C75-C$7)/C$8</f>
        <v>2865.0161665362061</v>
      </c>
      <c r="F75" s="63">
        <f t="shared" si="12"/>
        <v>2865</v>
      </c>
      <c r="G75" s="63">
        <f>+C75-(C$7+F75*C$8)</f>
        <v>8.2404499997210223E-2</v>
      </c>
      <c r="K75" s="63">
        <f>+G75</f>
        <v>8.2404499997210223E-2</v>
      </c>
      <c r="O75" s="63">
        <f ca="1">+C$11+C$12*F75</f>
        <v>7.0805088153685289E-2</v>
      </c>
      <c r="Q75" s="64">
        <f>+C75-15018.5</f>
        <v>42882.947899999999</v>
      </c>
    </row>
    <row r="76" spans="1:20" s="63" customFormat="1" ht="12" customHeight="1">
      <c r="A76" s="61" t="s">
        <v>281</v>
      </c>
      <c r="B76" s="62" t="s">
        <v>49</v>
      </c>
      <c r="C76" s="69">
        <v>59124.728799999997</v>
      </c>
      <c r="D76" s="70">
        <v>5.0000000000000001E-4</v>
      </c>
      <c r="E76" s="65">
        <f>+(C76-C$7)/C$8</f>
        <v>3105.0056690631386</v>
      </c>
      <c r="F76" s="63">
        <f t="shared" ref="F76" si="15">ROUND(2*E76,0)/2</f>
        <v>3105</v>
      </c>
      <c r="G76" s="63">
        <f>+C76-(C$7+F76*C$8)</f>
        <v>2.88964999926975E-2</v>
      </c>
      <c r="K76" s="63">
        <f>+G76</f>
        <v>2.88964999926975E-2</v>
      </c>
      <c r="O76" s="63">
        <f ca="1">+C$11+C$12*F76</f>
        <v>7.6394531717688993E-2</v>
      </c>
      <c r="Q76" s="64">
        <f>+C76-15018.5</f>
        <v>44106.228799999997</v>
      </c>
    </row>
    <row r="77" spans="1:20" s="63" customFormat="1" ht="12" customHeight="1">
      <c r="B77" s="68"/>
      <c r="C77" s="71"/>
      <c r="D77" s="71"/>
    </row>
    <row r="78" spans="1:20" s="63" customFormat="1" ht="12" customHeight="1">
      <c r="B78" s="68"/>
      <c r="C78" s="71"/>
      <c r="D78" s="71"/>
    </row>
    <row r="79" spans="1:20" s="63" customFormat="1" ht="12" customHeight="1">
      <c r="B79" s="68"/>
      <c r="C79" s="71"/>
      <c r="D79" s="71"/>
    </row>
    <row r="80" spans="1:20" s="63" customFormat="1" ht="12" customHeight="1">
      <c r="B80" s="68"/>
      <c r="C80" s="71"/>
      <c r="D80" s="71"/>
    </row>
    <row r="81" spans="2:4" s="63" customFormat="1" ht="12" customHeight="1">
      <c r="B81" s="68"/>
      <c r="C81" s="71"/>
      <c r="D81" s="71"/>
    </row>
    <row r="82" spans="2:4" s="63" customFormat="1" ht="12" customHeight="1">
      <c r="B82" s="68"/>
      <c r="C82" s="71"/>
      <c r="D82" s="71"/>
    </row>
    <row r="83" spans="2:4" s="63" customFormat="1" ht="12" customHeight="1">
      <c r="B83" s="68"/>
      <c r="C83" s="71"/>
      <c r="D83" s="71"/>
    </row>
    <row r="84" spans="2:4" s="63" customFormat="1" ht="12" customHeight="1">
      <c r="B84" s="68"/>
      <c r="C84" s="71"/>
      <c r="D84" s="71"/>
    </row>
    <row r="85" spans="2:4" s="63" customFormat="1" ht="12" customHeight="1">
      <c r="B85" s="68"/>
      <c r="C85" s="71"/>
      <c r="D85" s="71"/>
    </row>
    <row r="86" spans="2:4" ht="12.75" customHeight="1">
      <c r="B86" s="5"/>
      <c r="C86" s="28"/>
      <c r="D86" s="28"/>
    </row>
    <row r="87" spans="2:4" ht="12.75" customHeight="1">
      <c r="B87" s="5"/>
      <c r="C87" s="28"/>
      <c r="D87" s="28"/>
    </row>
    <row r="88" spans="2:4" ht="12.75" customHeight="1">
      <c r="B88" s="5"/>
      <c r="C88" s="28"/>
      <c r="D88" s="28"/>
    </row>
    <row r="89" spans="2:4" ht="12.75" customHeight="1">
      <c r="B89" s="5"/>
      <c r="C89" s="28"/>
      <c r="D89" s="28"/>
    </row>
    <row r="90" spans="2:4" ht="12.75" customHeight="1">
      <c r="B90" s="5"/>
      <c r="C90" s="28"/>
      <c r="D90" s="28"/>
    </row>
    <row r="91" spans="2:4" ht="12.75" customHeight="1">
      <c r="B91" s="5"/>
      <c r="C91" s="28"/>
      <c r="D91" s="28"/>
    </row>
    <row r="92" spans="2:4" ht="12.75" customHeight="1">
      <c r="B92" s="5"/>
      <c r="C92" s="28"/>
      <c r="D92" s="28"/>
    </row>
    <row r="93" spans="2:4" ht="12.75" customHeight="1">
      <c r="B93" s="5"/>
      <c r="C93" s="28"/>
      <c r="D93" s="28"/>
    </row>
    <row r="94" spans="2:4" ht="12.75" customHeight="1">
      <c r="B94" s="5"/>
      <c r="C94" s="28"/>
      <c r="D94" s="28"/>
    </row>
    <row r="95" spans="2:4" ht="12.75" customHeight="1">
      <c r="B95" s="5"/>
      <c r="C95" s="28"/>
      <c r="D95" s="28"/>
    </row>
    <row r="96" spans="2:4" ht="12.75" customHeight="1">
      <c r="B96" s="5"/>
      <c r="C96" s="28"/>
      <c r="D96" s="28"/>
    </row>
    <row r="97" spans="2:4" ht="12.75" customHeight="1">
      <c r="B97" s="5"/>
      <c r="C97" s="28"/>
      <c r="D97" s="28"/>
    </row>
    <row r="98" spans="2:4" ht="12.75" customHeight="1">
      <c r="B98" s="5"/>
      <c r="C98" s="28"/>
      <c r="D98" s="28"/>
    </row>
    <row r="99" spans="2:4" ht="12.75" customHeight="1">
      <c r="B99" s="5"/>
      <c r="C99" s="28"/>
      <c r="D99" s="28"/>
    </row>
    <row r="100" spans="2:4" ht="12.75" customHeight="1">
      <c r="B100" s="5"/>
      <c r="C100" s="28"/>
      <c r="D100" s="28"/>
    </row>
    <row r="101" spans="2:4">
      <c r="B101" s="5"/>
      <c r="C101" s="28"/>
      <c r="D101" s="28"/>
    </row>
    <row r="102" spans="2:4">
      <c r="B102" s="5"/>
      <c r="C102" s="28"/>
      <c r="D102" s="28"/>
    </row>
    <row r="103" spans="2:4">
      <c r="B103" s="5"/>
      <c r="C103" s="28"/>
      <c r="D103" s="28"/>
    </row>
    <row r="104" spans="2:4">
      <c r="B104" s="5"/>
      <c r="C104" s="28"/>
      <c r="D104" s="28"/>
    </row>
    <row r="105" spans="2:4">
      <c r="B105" s="5"/>
      <c r="C105" s="28"/>
      <c r="D105" s="28"/>
    </row>
    <row r="106" spans="2:4">
      <c r="B106" s="5"/>
      <c r="C106" s="28"/>
      <c r="D106" s="28"/>
    </row>
    <row r="107" spans="2:4">
      <c r="B107" s="5"/>
      <c r="C107" s="28"/>
      <c r="D107" s="28"/>
    </row>
    <row r="108" spans="2:4">
      <c r="B108" s="5"/>
      <c r="C108" s="28"/>
      <c r="D108" s="28"/>
    </row>
    <row r="109" spans="2:4">
      <c r="B109" s="5"/>
      <c r="C109" s="28"/>
      <c r="D109" s="28"/>
    </row>
    <row r="110" spans="2:4">
      <c r="B110" s="5"/>
      <c r="C110" s="28"/>
      <c r="D110" s="28"/>
    </row>
    <row r="111" spans="2:4">
      <c r="B111" s="5"/>
      <c r="C111" s="28"/>
      <c r="D111" s="28"/>
    </row>
    <row r="112" spans="2:4">
      <c r="B112" s="5"/>
      <c r="C112" s="28"/>
      <c r="D112" s="28"/>
    </row>
    <row r="113" spans="2:4">
      <c r="B113" s="5"/>
      <c r="C113" s="28"/>
      <c r="D113" s="28"/>
    </row>
    <row r="114" spans="2:4">
      <c r="B114" s="5"/>
      <c r="C114" s="28"/>
      <c r="D114" s="28"/>
    </row>
    <row r="115" spans="2:4">
      <c r="B115" s="5"/>
      <c r="C115" s="28"/>
      <c r="D115" s="28"/>
    </row>
    <row r="116" spans="2:4">
      <c r="B116" s="5"/>
      <c r="C116" s="28"/>
      <c r="D116" s="28"/>
    </row>
    <row r="117" spans="2:4">
      <c r="B117" s="5"/>
      <c r="C117" s="28"/>
      <c r="D117" s="28"/>
    </row>
    <row r="118" spans="2:4">
      <c r="B118" s="5"/>
      <c r="C118" s="28"/>
      <c r="D118" s="28"/>
    </row>
    <row r="119" spans="2:4">
      <c r="B119" s="5"/>
      <c r="C119" s="28"/>
      <c r="D119" s="28"/>
    </row>
    <row r="120" spans="2:4">
      <c r="B120" s="5"/>
      <c r="C120" s="28"/>
      <c r="D120" s="28"/>
    </row>
    <row r="121" spans="2:4">
      <c r="B121" s="5"/>
      <c r="C121" s="28"/>
      <c r="D121" s="28"/>
    </row>
    <row r="122" spans="2:4">
      <c r="B122" s="5"/>
      <c r="C122" s="28"/>
      <c r="D122" s="28"/>
    </row>
    <row r="123" spans="2:4">
      <c r="B123" s="5"/>
      <c r="C123" s="28"/>
      <c r="D123" s="28"/>
    </row>
    <row r="124" spans="2:4">
      <c r="B124" s="5"/>
      <c r="C124" s="28"/>
      <c r="D124" s="28"/>
    </row>
    <row r="125" spans="2:4">
      <c r="B125" s="5"/>
      <c r="C125" s="28"/>
      <c r="D125" s="28"/>
    </row>
    <row r="126" spans="2:4">
      <c r="B126" s="5"/>
      <c r="C126" s="28"/>
      <c r="D126" s="28"/>
    </row>
    <row r="127" spans="2:4">
      <c r="B127" s="5"/>
      <c r="C127" s="28"/>
      <c r="D127" s="28"/>
    </row>
    <row r="128" spans="2:4">
      <c r="B128" s="5"/>
      <c r="C128" s="28"/>
      <c r="D128" s="28"/>
    </row>
    <row r="129" spans="2:4">
      <c r="B129" s="5"/>
      <c r="C129" s="28"/>
      <c r="D129" s="28"/>
    </row>
    <row r="130" spans="2:4">
      <c r="B130" s="5"/>
      <c r="C130" s="28"/>
      <c r="D130" s="28"/>
    </row>
    <row r="131" spans="2:4">
      <c r="B131" s="5"/>
      <c r="C131" s="28"/>
      <c r="D131" s="28"/>
    </row>
    <row r="132" spans="2:4">
      <c r="B132" s="5"/>
      <c r="C132" s="28"/>
      <c r="D132" s="28"/>
    </row>
    <row r="133" spans="2:4">
      <c r="B133" s="5"/>
      <c r="C133" s="28"/>
      <c r="D133" s="28"/>
    </row>
    <row r="134" spans="2:4">
      <c r="B134" s="5"/>
      <c r="C134" s="28"/>
      <c r="D134" s="28"/>
    </row>
    <row r="135" spans="2:4">
      <c r="B135" s="5"/>
      <c r="C135" s="28"/>
      <c r="D135" s="28"/>
    </row>
    <row r="136" spans="2:4">
      <c r="B136" s="5"/>
      <c r="C136" s="28"/>
      <c r="D136" s="28"/>
    </row>
    <row r="137" spans="2:4">
      <c r="B137" s="5"/>
      <c r="C137" s="28"/>
      <c r="D137" s="28"/>
    </row>
    <row r="138" spans="2:4">
      <c r="B138" s="5"/>
      <c r="C138" s="28"/>
      <c r="D138" s="28"/>
    </row>
    <row r="139" spans="2:4">
      <c r="B139" s="5"/>
      <c r="C139" s="28"/>
      <c r="D139" s="28"/>
    </row>
    <row r="140" spans="2:4">
      <c r="B140" s="5"/>
      <c r="C140" s="28"/>
      <c r="D140" s="28"/>
    </row>
    <row r="141" spans="2:4">
      <c r="B141" s="5"/>
      <c r="C141" s="28"/>
      <c r="D141" s="28"/>
    </row>
    <row r="142" spans="2:4">
      <c r="B142" s="5"/>
      <c r="C142" s="28"/>
      <c r="D142" s="28"/>
    </row>
    <row r="143" spans="2:4">
      <c r="B143" s="5"/>
      <c r="C143" s="28"/>
      <c r="D143" s="28"/>
    </row>
    <row r="144" spans="2:4">
      <c r="B144" s="5"/>
      <c r="C144" s="28"/>
      <c r="D144" s="28"/>
    </row>
    <row r="145" spans="2:4">
      <c r="B145" s="5"/>
      <c r="C145" s="28"/>
      <c r="D145" s="28"/>
    </row>
    <row r="146" spans="2:4">
      <c r="B146" s="5"/>
      <c r="C146" s="28"/>
      <c r="D146" s="28"/>
    </row>
    <row r="147" spans="2:4">
      <c r="B147" s="5"/>
      <c r="C147" s="28"/>
      <c r="D147" s="28"/>
    </row>
    <row r="148" spans="2:4">
      <c r="B148" s="5"/>
      <c r="C148" s="28"/>
      <c r="D148" s="28"/>
    </row>
    <row r="149" spans="2:4">
      <c r="B149" s="5"/>
      <c r="C149" s="28"/>
      <c r="D149" s="28"/>
    </row>
    <row r="150" spans="2:4">
      <c r="B150" s="5"/>
      <c r="C150" s="28"/>
      <c r="D150" s="28"/>
    </row>
    <row r="151" spans="2:4">
      <c r="B151" s="5"/>
      <c r="C151" s="28"/>
      <c r="D151" s="28"/>
    </row>
    <row r="152" spans="2:4">
      <c r="B152" s="5"/>
      <c r="C152" s="28"/>
      <c r="D152" s="28"/>
    </row>
    <row r="153" spans="2:4">
      <c r="B153" s="5"/>
      <c r="C153" s="28"/>
      <c r="D153" s="28"/>
    </row>
    <row r="154" spans="2:4">
      <c r="B154" s="5"/>
      <c r="C154" s="28"/>
      <c r="D154" s="28"/>
    </row>
    <row r="155" spans="2:4">
      <c r="B155" s="5"/>
      <c r="C155" s="28"/>
      <c r="D155" s="28"/>
    </row>
    <row r="156" spans="2:4">
      <c r="B156" s="5"/>
      <c r="C156" s="28"/>
      <c r="D156" s="28"/>
    </row>
    <row r="157" spans="2:4">
      <c r="B157" s="5"/>
      <c r="C157" s="28"/>
      <c r="D157" s="28"/>
    </row>
    <row r="158" spans="2:4">
      <c r="B158" s="5"/>
      <c r="C158" s="28"/>
      <c r="D158" s="28"/>
    </row>
    <row r="159" spans="2:4">
      <c r="B159" s="5"/>
      <c r="C159" s="28"/>
      <c r="D159" s="28"/>
    </row>
    <row r="160" spans="2:4">
      <c r="B160" s="5"/>
      <c r="C160" s="28"/>
      <c r="D160" s="28"/>
    </row>
    <row r="161" spans="2:4">
      <c r="B161" s="5"/>
      <c r="C161" s="28"/>
      <c r="D161" s="28"/>
    </row>
    <row r="162" spans="2:4">
      <c r="B162" s="5"/>
      <c r="C162" s="28"/>
      <c r="D162" s="28"/>
    </row>
    <row r="163" spans="2:4">
      <c r="B163" s="5"/>
      <c r="C163" s="28"/>
      <c r="D163" s="28"/>
    </row>
    <row r="164" spans="2:4">
      <c r="B164" s="5"/>
      <c r="C164" s="28"/>
      <c r="D164" s="28"/>
    </row>
    <row r="165" spans="2:4">
      <c r="B165" s="5"/>
      <c r="C165" s="28"/>
      <c r="D165" s="28"/>
    </row>
    <row r="166" spans="2:4">
      <c r="B166" s="5"/>
      <c r="C166" s="28"/>
      <c r="D166" s="28"/>
    </row>
    <row r="167" spans="2:4">
      <c r="B167" s="5"/>
      <c r="C167" s="28"/>
      <c r="D167" s="28"/>
    </row>
    <row r="168" spans="2:4">
      <c r="B168" s="5"/>
      <c r="C168" s="28"/>
      <c r="D168" s="28"/>
    </row>
    <row r="169" spans="2:4">
      <c r="B169" s="5"/>
      <c r="C169" s="28"/>
      <c r="D169" s="28"/>
    </row>
    <row r="170" spans="2:4">
      <c r="B170" s="5"/>
      <c r="C170" s="28"/>
      <c r="D170" s="28"/>
    </row>
    <row r="171" spans="2:4">
      <c r="B171" s="5"/>
      <c r="C171" s="28"/>
      <c r="D171" s="28"/>
    </row>
    <row r="172" spans="2:4">
      <c r="B172" s="5"/>
      <c r="C172" s="28"/>
      <c r="D172" s="28"/>
    </row>
    <row r="173" spans="2:4">
      <c r="B173" s="5"/>
      <c r="C173" s="28"/>
      <c r="D173" s="28"/>
    </row>
    <row r="174" spans="2:4">
      <c r="B174" s="5"/>
      <c r="C174" s="28"/>
      <c r="D174" s="28"/>
    </row>
    <row r="175" spans="2:4">
      <c r="B175" s="5"/>
      <c r="C175" s="28"/>
      <c r="D175" s="28"/>
    </row>
    <row r="176" spans="2:4">
      <c r="B176" s="5"/>
      <c r="C176" s="28"/>
      <c r="D176" s="28"/>
    </row>
    <row r="177" spans="2:4">
      <c r="B177" s="5"/>
      <c r="C177" s="28"/>
      <c r="D177" s="28"/>
    </row>
    <row r="178" spans="2:4">
      <c r="B178" s="5"/>
      <c r="C178" s="28"/>
      <c r="D178" s="28"/>
    </row>
    <row r="179" spans="2:4">
      <c r="B179" s="5"/>
      <c r="C179" s="28"/>
      <c r="D179" s="28"/>
    </row>
    <row r="180" spans="2:4">
      <c r="B180" s="5"/>
      <c r="C180" s="28"/>
      <c r="D180" s="28"/>
    </row>
    <row r="181" spans="2:4">
      <c r="B181" s="5"/>
      <c r="C181" s="28"/>
      <c r="D181" s="28"/>
    </row>
    <row r="182" spans="2:4">
      <c r="B182" s="5"/>
      <c r="C182" s="28"/>
      <c r="D182" s="28"/>
    </row>
    <row r="183" spans="2:4">
      <c r="B183" s="5"/>
      <c r="C183" s="28"/>
      <c r="D183" s="28"/>
    </row>
    <row r="184" spans="2:4">
      <c r="B184" s="5"/>
      <c r="C184" s="28"/>
      <c r="D184" s="28"/>
    </row>
    <row r="185" spans="2:4">
      <c r="B185" s="5"/>
      <c r="C185" s="28"/>
      <c r="D185" s="28"/>
    </row>
    <row r="186" spans="2:4">
      <c r="B186" s="5"/>
      <c r="C186" s="28"/>
      <c r="D186" s="28"/>
    </row>
    <row r="187" spans="2:4">
      <c r="B187" s="5"/>
      <c r="C187" s="28"/>
      <c r="D187" s="28"/>
    </row>
    <row r="188" spans="2:4">
      <c r="B188" s="5"/>
      <c r="C188" s="28"/>
      <c r="D188" s="28"/>
    </row>
    <row r="189" spans="2:4">
      <c r="B189" s="5"/>
      <c r="C189" s="28"/>
      <c r="D189" s="28"/>
    </row>
    <row r="190" spans="2:4">
      <c r="B190" s="5"/>
      <c r="C190" s="28"/>
      <c r="D190" s="28"/>
    </row>
    <row r="191" spans="2:4">
      <c r="B191" s="5"/>
      <c r="C191" s="28"/>
      <c r="D191" s="28"/>
    </row>
    <row r="192" spans="2:4">
      <c r="B192" s="5"/>
      <c r="C192" s="28"/>
      <c r="D192" s="28"/>
    </row>
    <row r="193" spans="2:4">
      <c r="B193" s="5"/>
      <c r="C193" s="28"/>
      <c r="D193" s="28"/>
    </row>
    <row r="194" spans="2:4">
      <c r="B194" s="5"/>
      <c r="C194" s="28"/>
      <c r="D194" s="28"/>
    </row>
    <row r="195" spans="2:4">
      <c r="B195" s="5"/>
      <c r="C195" s="28"/>
      <c r="D195" s="28"/>
    </row>
    <row r="196" spans="2:4">
      <c r="B196" s="5"/>
      <c r="C196" s="28"/>
      <c r="D196" s="28"/>
    </row>
    <row r="197" spans="2:4">
      <c r="B197" s="5"/>
      <c r="C197" s="28"/>
      <c r="D197" s="28"/>
    </row>
    <row r="198" spans="2:4">
      <c r="B198" s="5"/>
      <c r="C198" s="28"/>
      <c r="D198" s="28"/>
    </row>
    <row r="199" spans="2:4">
      <c r="B199" s="5"/>
      <c r="C199" s="28"/>
      <c r="D199" s="28"/>
    </row>
    <row r="200" spans="2:4">
      <c r="B200" s="5"/>
      <c r="C200" s="28"/>
      <c r="D200" s="28"/>
    </row>
    <row r="201" spans="2:4">
      <c r="B201" s="5"/>
      <c r="C201" s="28"/>
      <c r="D201" s="28"/>
    </row>
    <row r="202" spans="2:4">
      <c r="B202" s="5"/>
      <c r="C202" s="28"/>
      <c r="D202" s="28"/>
    </row>
    <row r="203" spans="2:4">
      <c r="B203" s="5"/>
      <c r="C203" s="28"/>
      <c r="D203" s="28"/>
    </row>
    <row r="204" spans="2:4">
      <c r="B204" s="5"/>
      <c r="C204" s="28"/>
      <c r="D204" s="28"/>
    </row>
    <row r="205" spans="2:4">
      <c r="B205" s="5"/>
      <c r="C205" s="28"/>
      <c r="D205" s="28"/>
    </row>
    <row r="206" spans="2:4">
      <c r="B206" s="5"/>
      <c r="C206" s="28"/>
      <c r="D206" s="28"/>
    </row>
    <row r="207" spans="2:4">
      <c r="B207" s="5"/>
    </row>
  </sheetData>
  <phoneticPr fontId="8" type="noConversion"/>
  <hyperlinks>
    <hyperlink ref="H1831" r:id="rId1" display="http://vsolj.cetus-net.org/bulletin.html" xr:uid="{00000000-0004-0000-0000-000000000000}"/>
    <hyperlink ref="H64921" r:id="rId2" display="http://vsolj.cetus-net.org/bulletin.html" xr:uid="{00000000-0004-0000-0000-000001000000}"/>
    <hyperlink ref="H64914" r:id="rId3" display="https://www.aavso.org/ejaavso" xr:uid="{00000000-0004-0000-0000-000002000000}"/>
    <hyperlink ref="AP1065" r:id="rId4" display="http://cdsbib.u-strasbg.fr/cgi-bin/cdsbib?1990RMxAA..21..381G" xr:uid="{00000000-0004-0000-0000-000003000000}"/>
    <hyperlink ref="AP1069" r:id="rId5" display="http://cdsbib.u-strasbg.fr/cgi-bin/cdsbib?1990RMxAA..21..381G" xr:uid="{00000000-0004-0000-0000-000004000000}"/>
    <hyperlink ref="AP1068" r:id="rId6" display="http://cdsbib.u-strasbg.fr/cgi-bin/cdsbib?1990RMxAA..21..381G" xr:uid="{00000000-0004-0000-0000-000005000000}"/>
    <hyperlink ref="AP1049" r:id="rId7" display="http://cdsbib.u-strasbg.fr/cgi-bin/cdsbib?1990RMxAA..21..381G" xr:uid="{00000000-0004-0000-0000-000006000000}"/>
    <hyperlink ref="I64921" r:id="rId8" display="http://vsolj.cetus-net.org/bulletin.html" xr:uid="{00000000-0004-0000-0000-000007000000}"/>
    <hyperlink ref="AQ1205" r:id="rId9" display="http://cdsbib.u-strasbg.fr/cgi-bin/cdsbib?1990RMxAA..21..381G" xr:uid="{00000000-0004-0000-0000-000008000000}"/>
    <hyperlink ref="AQ55971" r:id="rId10" display="http://cdsbib.u-strasbg.fr/cgi-bin/cdsbib?1990RMxAA..21..381G" xr:uid="{00000000-0004-0000-0000-000009000000}"/>
    <hyperlink ref="AQ1206" r:id="rId11" display="http://cdsbib.u-strasbg.fr/cgi-bin/cdsbib?1990RMxAA..21..381G" xr:uid="{00000000-0004-0000-0000-00000A000000}"/>
    <hyperlink ref="H64918" r:id="rId12" display="https://www.aavso.org/ejaavso" xr:uid="{00000000-0004-0000-0000-00000B000000}"/>
    <hyperlink ref="H2091" r:id="rId13" display="http://vsolj.cetus-net.org/bulletin.html" xr:uid="{00000000-0004-0000-0000-00000C000000}"/>
    <hyperlink ref="AP3335" r:id="rId14" display="http://cdsbib.u-strasbg.fr/cgi-bin/cdsbib?1990RMxAA..21..381G" xr:uid="{00000000-0004-0000-0000-00000D000000}"/>
    <hyperlink ref="AP3338" r:id="rId15" display="http://cdsbib.u-strasbg.fr/cgi-bin/cdsbib?1990RMxAA..21..381G" xr:uid="{00000000-0004-0000-0000-00000E000000}"/>
    <hyperlink ref="AP3336" r:id="rId16" display="http://cdsbib.u-strasbg.fr/cgi-bin/cdsbib?1990RMxAA..21..381G" xr:uid="{00000000-0004-0000-0000-00000F000000}"/>
    <hyperlink ref="AP3320" r:id="rId17" display="http://cdsbib.u-strasbg.fr/cgi-bin/cdsbib?1990RMxAA..21..381G" xr:uid="{00000000-0004-0000-0000-000010000000}"/>
    <hyperlink ref="I2091" r:id="rId18" display="http://vsolj.cetus-net.org/bulletin.html" xr:uid="{00000000-0004-0000-0000-000011000000}"/>
    <hyperlink ref="AQ3549" r:id="rId19" display="http://cdsbib.u-strasbg.fr/cgi-bin/cdsbib?1990RMxAA..21..381G" xr:uid="{00000000-0004-0000-0000-000012000000}"/>
    <hyperlink ref="AQ250" r:id="rId20" display="http://cdsbib.u-strasbg.fr/cgi-bin/cdsbib?1990RMxAA..21..381G" xr:uid="{00000000-0004-0000-0000-000013000000}"/>
    <hyperlink ref="AQ355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15" workbookViewId="0">
      <selection activeCell="A29" sqref="A29:D62"/>
    </sheetView>
  </sheetViews>
  <sheetFormatPr defaultRowHeight="12.75"/>
  <cols>
    <col min="1" max="1" width="19.7109375" style="28" customWidth="1"/>
    <col min="2" max="2" width="4.42578125" style="13" customWidth="1"/>
    <col min="3" max="3" width="12.7109375" style="2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7" t="s">
        <v>63</v>
      </c>
      <c r="I1" s="38" t="s">
        <v>64</v>
      </c>
      <c r="J1" s="39" t="s">
        <v>65</v>
      </c>
    </row>
    <row r="2" spans="1:16">
      <c r="I2" s="40" t="s">
        <v>66</v>
      </c>
      <c r="J2" s="41" t="s">
        <v>67</v>
      </c>
    </row>
    <row r="3" spans="1:16">
      <c r="A3" s="42" t="s">
        <v>68</v>
      </c>
      <c r="I3" s="40" t="s">
        <v>69</v>
      </c>
      <c r="J3" s="41" t="s">
        <v>70</v>
      </c>
    </row>
    <row r="4" spans="1:16">
      <c r="I4" s="40" t="s">
        <v>71</v>
      </c>
      <c r="J4" s="41" t="s">
        <v>70</v>
      </c>
    </row>
    <row r="5" spans="1:16" ht="13.5" thickBot="1">
      <c r="I5" s="43" t="s">
        <v>72</v>
      </c>
      <c r="J5" s="44" t="s">
        <v>47</v>
      </c>
    </row>
    <row r="10" spans="1:16" ht="13.5" thickBot="1"/>
    <row r="11" spans="1:16" ht="12.75" customHeight="1" thickBot="1">
      <c r="A11" s="28" t="str">
        <f t="shared" ref="A11:A42" si="0">P11</f>
        <v> PTAO 38.178 </v>
      </c>
      <c r="B11" s="5" t="str">
        <f t="shared" ref="B11:B42" si="1">IF(H11=INT(H11),"I","II")</f>
        <v>I</v>
      </c>
      <c r="C11" s="28">
        <f t="shared" ref="C11:C42" si="2">1*G11</f>
        <v>43297.811000000002</v>
      </c>
      <c r="D11" s="13" t="str">
        <f t="shared" ref="D11:D42" si="3">VLOOKUP(F11,I$1:J$5,2,FALSE)</f>
        <v>vis</v>
      </c>
      <c r="E11" s="45">
        <f>VLOOKUP(C11,Active!C$21:E$973,3,FALSE)</f>
        <v>0</v>
      </c>
      <c r="F11" s="5" t="s">
        <v>72</v>
      </c>
      <c r="G11" s="13" t="str">
        <f t="shared" ref="G11:G42" si="4">MID(I11,3,LEN(I11)-3)</f>
        <v>43297.811</v>
      </c>
      <c r="H11" s="28">
        <f t="shared" ref="H11:H42" si="5">1*K11</f>
        <v>0</v>
      </c>
      <c r="I11" s="46" t="s">
        <v>184</v>
      </c>
      <c r="J11" s="47" t="s">
        <v>185</v>
      </c>
      <c r="K11" s="46">
        <v>0</v>
      </c>
      <c r="L11" s="46" t="s">
        <v>186</v>
      </c>
      <c r="M11" s="47" t="s">
        <v>177</v>
      </c>
      <c r="N11" s="47" t="s">
        <v>178</v>
      </c>
      <c r="O11" s="48" t="s">
        <v>179</v>
      </c>
      <c r="P11" s="48" t="s">
        <v>180</v>
      </c>
    </row>
    <row r="12" spans="1:16" ht="12.75" customHeight="1" thickBot="1">
      <c r="A12" s="28" t="str">
        <f t="shared" si="0"/>
        <v> BAC 41.51 </v>
      </c>
      <c r="B12" s="5" t="str">
        <f t="shared" si="1"/>
        <v>I</v>
      </c>
      <c r="C12" s="28">
        <f t="shared" si="2"/>
        <v>43787.154999999999</v>
      </c>
      <c r="D12" s="13" t="str">
        <f t="shared" si="3"/>
        <v>vis</v>
      </c>
      <c r="E12" s="45">
        <f>VLOOKUP(C12,Active!C$21:E$973,3,FALSE)</f>
        <v>96.002008307772016</v>
      </c>
      <c r="F12" s="5" t="s">
        <v>72</v>
      </c>
      <c r="G12" s="13" t="str">
        <f t="shared" si="4"/>
        <v>43787.155</v>
      </c>
      <c r="H12" s="28">
        <f t="shared" si="5"/>
        <v>96</v>
      </c>
      <c r="I12" s="46" t="s">
        <v>192</v>
      </c>
      <c r="J12" s="47" t="s">
        <v>193</v>
      </c>
      <c r="K12" s="46">
        <v>96</v>
      </c>
      <c r="L12" s="46" t="s">
        <v>194</v>
      </c>
      <c r="M12" s="47" t="s">
        <v>177</v>
      </c>
      <c r="N12" s="47" t="s">
        <v>178</v>
      </c>
      <c r="O12" s="48" t="s">
        <v>190</v>
      </c>
      <c r="P12" s="48" t="s">
        <v>191</v>
      </c>
    </row>
    <row r="13" spans="1:16" ht="12.75" customHeight="1" thickBot="1">
      <c r="A13" s="28" t="str">
        <f t="shared" si="0"/>
        <v> BAC 41.51 </v>
      </c>
      <c r="B13" s="5" t="str">
        <f t="shared" si="1"/>
        <v>I</v>
      </c>
      <c r="C13" s="28">
        <f t="shared" si="2"/>
        <v>44582.328999999998</v>
      </c>
      <c r="D13" s="13" t="str">
        <f t="shared" si="3"/>
        <v>vis</v>
      </c>
      <c r="E13" s="45">
        <f>VLOOKUP(C13,Active!C$21:E$973,3,FALSE)</f>
        <v>252.00330995676458</v>
      </c>
      <c r="F13" s="5" t="s">
        <v>72</v>
      </c>
      <c r="G13" s="13" t="str">
        <f t="shared" si="4"/>
        <v>44582.329</v>
      </c>
      <c r="H13" s="28">
        <f t="shared" si="5"/>
        <v>252</v>
      </c>
      <c r="I13" s="46" t="s">
        <v>195</v>
      </c>
      <c r="J13" s="47" t="s">
        <v>196</v>
      </c>
      <c r="K13" s="46">
        <v>252</v>
      </c>
      <c r="L13" s="46" t="s">
        <v>197</v>
      </c>
      <c r="M13" s="47" t="s">
        <v>177</v>
      </c>
      <c r="N13" s="47" t="s">
        <v>178</v>
      </c>
      <c r="O13" s="48" t="s">
        <v>190</v>
      </c>
      <c r="P13" s="48" t="s">
        <v>191</v>
      </c>
    </row>
    <row r="14" spans="1:16" ht="12.75" customHeight="1" thickBot="1">
      <c r="A14" s="28" t="str">
        <f t="shared" si="0"/>
        <v> BRNO 26 </v>
      </c>
      <c r="B14" s="5" t="str">
        <f t="shared" si="1"/>
        <v>I</v>
      </c>
      <c r="C14" s="28">
        <f t="shared" si="2"/>
        <v>44852.432000000001</v>
      </c>
      <c r="D14" s="13" t="str">
        <f t="shared" si="3"/>
        <v>vis</v>
      </c>
      <c r="E14" s="45">
        <f>VLOOKUP(C14,Active!C$21:E$973,3,FALSE)</f>
        <v>304.99349773868192</v>
      </c>
      <c r="F14" s="5" t="s">
        <v>72</v>
      </c>
      <c r="G14" s="13" t="str">
        <f t="shared" si="4"/>
        <v>44852.432</v>
      </c>
      <c r="H14" s="28">
        <f t="shared" si="5"/>
        <v>305</v>
      </c>
      <c r="I14" s="46" t="s">
        <v>198</v>
      </c>
      <c r="J14" s="47" t="s">
        <v>199</v>
      </c>
      <c r="K14" s="46">
        <v>305</v>
      </c>
      <c r="L14" s="46" t="s">
        <v>200</v>
      </c>
      <c r="M14" s="47" t="s">
        <v>93</v>
      </c>
      <c r="N14" s="47"/>
      <c r="O14" s="48" t="s">
        <v>201</v>
      </c>
      <c r="P14" s="48" t="s">
        <v>202</v>
      </c>
    </row>
    <row r="15" spans="1:16" ht="12.75" customHeight="1" thickBot="1">
      <c r="A15" s="28" t="str">
        <f t="shared" si="0"/>
        <v> BAC 41.51 </v>
      </c>
      <c r="B15" s="5" t="str">
        <f t="shared" si="1"/>
        <v>I</v>
      </c>
      <c r="C15" s="28">
        <f t="shared" si="2"/>
        <v>44934.036</v>
      </c>
      <c r="D15" s="13" t="str">
        <f t="shared" si="3"/>
        <v>vis</v>
      </c>
      <c r="E15" s="45">
        <f>VLOOKUP(C15,Active!C$21:E$973,3,FALSE)</f>
        <v>321.00298776195268</v>
      </c>
      <c r="F15" s="5" t="s">
        <v>72</v>
      </c>
      <c r="G15" s="13" t="str">
        <f t="shared" si="4"/>
        <v>44934.036</v>
      </c>
      <c r="H15" s="28">
        <f t="shared" si="5"/>
        <v>321</v>
      </c>
      <c r="I15" s="46" t="s">
        <v>203</v>
      </c>
      <c r="J15" s="47" t="s">
        <v>204</v>
      </c>
      <c r="K15" s="46">
        <v>321</v>
      </c>
      <c r="L15" s="46" t="s">
        <v>205</v>
      </c>
      <c r="M15" s="47" t="s">
        <v>177</v>
      </c>
      <c r="N15" s="47" t="s">
        <v>178</v>
      </c>
      <c r="O15" s="48" t="s">
        <v>190</v>
      </c>
      <c r="P15" s="48" t="s">
        <v>191</v>
      </c>
    </row>
    <row r="16" spans="1:16" ht="12.75" customHeight="1" thickBot="1">
      <c r="A16" s="28" t="str">
        <f t="shared" si="0"/>
        <v> VSSC 60.20 </v>
      </c>
      <c r="B16" s="5" t="str">
        <f t="shared" si="1"/>
        <v>II</v>
      </c>
      <c r="C16" s="28">
        <f t="shared" si="2"/>
        <v>45191.37</v>
      </c>
      <c r="D16" s="13" t="str">
        <f t="shared" si="3"/>
        <v>vis</v>
      </c>
      <c r="E16" s="45">
        <f>VLOOKUP(C16,Active!C$21:E$973,3,FALSE)</f>
        <v>371.48808782626855</v>
      </c>
      <c r="F16" s="5" t="s">
        <v>72</v>
      </c>
      <c r="G16" s="13" t="str">
        <f t="shared" si="4"/>
        <v>45191.370</v>
      </c>
      <c r="H16" s="28">
        <f t="shared" si="5"/>
        <v>371.5</v>
      </c>
      <c r="I16" s="46" t="s">
        <v>206</v>
      </c>
      <c r="J16" s="47" t="s">
        <v>207</v>
      </c>
      <c r="K16" s="46">
        <v>371.5</v>
      </c>
      <c r="L16" s="46" t="s">
        <v>208</v>
      </c>
      <c r="M16" s="47" t="s">
        <v>93</v>
      </c>
      <c r="N16" s="47"/>
      <c r="O16" s="48" t="s">
        <v>209</v>
      </c>
      <c r="P16" s="48" t="s">
        <v>210</v>
      </c>
    </row>
    <row r="17" spans="1:16" ht="12.75" customHeight="1" thickBot="1">
      <c r="A17" s="28" t="str">
        <f t="shared" si="0"/>
        <v> BBS 72 </v>
      </c>
      <c r="B17" s="5" t="str">
        <f t="shared" si="1"/>
        <v>II</v>
      </c>
      <c r="C17" s="28">
        <f t="shared" si="2"/>
        <v>45879.5</v>
      </c>
      <c r="D17" s="13" t="str">
        <f t="shared" si="3"/>
        <v>vis</v>
      </c>
      <c r="E17" s="45">
        <f>VLOOKUP(C17,Active!C$21:E$973,3,FALSE)</f>
        <v>506.48895015793556</v>
      </c>
      <c r="F17" s="5" t="s">
        <v>72</v>
      </c>
      <c r="G17" s="13" t="str">
        <f t="shared" si="4"/>
        <v>45879.500</v>
      </c>
      <c r="H17" s="28">
        <f t="shared" si="5"/>
        <v>506.5</v>
      </c>
      <c r="I17" s="46" t="s">
        <v>211</v>
      </c>
      <c r="J17" s="47" t="s">
        <v>212</v>
      </c>
      <c r="K17" s="46">
        <v>506.5</v>
      </c>
      <c r="L17" s="46" t="s">
        <v>213</v>
      </c>
      <c r="M17" s="47" t="s">
        <v>177</v>
      </c>
      <c r="N17" s="47" t="s">
        <v>178</v>
      </c>
      <c r="O17" s="48" t="s">
        <v>214</v>
      </c>
      <c r="P17" s="48" t="s">
        <v>215</v>
      </c>
    </row>
    <row r="18" spans="1:16" ht="12.75" customHeight="1" thickBot="1">
      <c r="A18" s="28" t="str">
        <f t="shared" si="0"/>
        <v> BBS 75 </v>
      </c>
      <c r="B18" s="5" t="str">
        <f t="shared" si="1"/>
        <v>I</v>
      </c>
      <c r="C18" s="28">
        <f t="shared" si="2"/>
        <v>46055.389000000003</v>
      </c>
      <c r="D18" s="13" t="str">
        <f t="shared" si="3"/>
        <v>vis</v>
      </c>
      <c r="E18" s="45">
        <f>VLOOKUP(C18,Active!C$21:E$973,3,FALSE)</f>
        <v>540.99575363206839</v>
      </c>
      <c r="F18" s="5" t="s">
        <v>72</v>
      </c>
      <c r="G18" s="13" t="str">
        <f t="shared" si="4"/>
        <v>46055.389</v>
      </c>
      <c r="H18" s="28">
        <f t="shared" si="5"/>
        <v>541</v>
      </c>
      <c r="I18" s="46" t="s">
        <v>216</v>
      </c>
      <c r="J18" s="47" t="s">
        <v>217</v>
      </c>
      <c r="K18" s="46">
        <v>541</v>
      </c>
      <c r="L18" s="46" t="s">
        <v>218</v>
      </c>
      <c r="M18" s="47" t="s">
        <v>93</v>
      </c>
      <c r="N18" s="47"/>
      <c r="O18" s="48" t="s">
        <v>219</v>
      </c>
      <c r="P18" s="48" t="s">
        <v>220</v>
      </c>
    </row>
    <row r="19" spans="1:16" ht="12.75" customHeight="1" thickBot="1">
      <c r="A19" s="28" t="str">
        <f t="shared" si="0"/>
        <v> BAC 41.51 </v>
      </c>
      <c r="B19" s="5" t="str">
        <f t="shared" si="1"/>
        <v>I</v>
      </c>
      <c r="C19" s="28">
        <f t="shared" si="2"/>
        <v>46738.461000000003</v>
      </c>
      <c r="D19" s="13" t="str">
        <f t="shared" si="3"/>
        <v>vis</v>
      </c>
      <c r="E19" s="45">
        <f>VLOOKUP(C19,Active!C$21:E$973,3,FALSE)</f>
        <v>675.00431165833788</v>
      </c>
      <c r="F19" s="5" t="s">
        <v>72</v>
      </c>
      <c r="G19" s="13" t="str">
        <f t="shared" si="4"/>
        <v>46738.461</v>
      </c>
      <c r="H19" s="28">
        <f t="shared" si="5"/>
        <v>675</v>
      </c>
      <c r="I19" s="46" t="s">
        <v>221</v>
      </c>
      <c r="J19" s="47" t="s">
        <v>222</v>
      </c>
      <c r="K19" s="46">
        <v>675</v>
      </c>
      <c r="L19" s="46" t="s">
        <v>223</v>
      </c>
      <c r="M19" s="47" t="s">
        <v>177</v>
      </c>
      <c r="N19" s="47" t="s">
        <v>178</v>
      </c>
      <c r="O19" s="48" t="s">
        <v>190</v>
      </c>
      <c r="P19" s="48" t="s">
        <v>191</v>
      </c>
    </row>
    <row r="20" spans="1:16" ht="12.75" customHeight="1" thickBot="1">
      <c r="A20" s="28" t="str">
        <f t="shared" si="0"/>
        <v> BAC 41.51 </v>
      </c>
      <c r="B20" s="5" t="str">
        <f t="shared" si="1"/>
        <v>I</v>
      </c>
      <c r="C20" s="28">
        <f t="shared" si="2"/>
        <v>47207.409</v>
      </c>
      <c r="D20" s="13" t="str">
        <f t="shared" si="3"/>
        <v>vis</v>
      </c>
      <c r="E20" s="45">
        <f>VLOOKUP(C20,Active!C$21:E$973,3,FALSE)</f>
        <v>767.00492838586092</v>
      </c>
      <c r="F20" s="5" t="s">
        <v>72</v>
      </c>
      <c r="G20" s="13" t="str">
        <f t="shared" si="4"/>
        <v>47207.409</v>
      </c>
      <c r="H20" s="28">
        <f t="shared" si="5"/>
        <v>767</v>
      </c>
      <c r="I20" s="46" t="s">
        <v>224</v>
      </c>
      <c r="J20" s="47" t="s">
        <v>225</v>
      </c>
      <c r="K20" s="46">
        <v>767</v>
      </c>
      <c r="L20" s="46" t="s">
        <v>226</v>
      </c>
      <c r="M20" s="47" t="s">
        <v>177</v>
      </c>
      <c r="N20" s="47" t="s">
        <v>178</v>
      </c>
      <c r="O20" s="48" t="s">
        <v>190</v>
      </c>
      <c r="P20" s="48" t="s">
        <v>191</v>
      </c>
    </row>
    <row r="21" spans="1:16" ht="12.75" customHeight="1" thickBot="1">
      <c r="A21" s="28" t="str">
        <f t="shared" si="0"/>
        <v>OEJV 0060 </v>
      </c>
      <c r="B21" s="5" t="str">
        <f t="shared" si="1"/>
        <v>I</v>
      </c>
      <c r="C21" s="28">
        <f t="shared" si="2"/>
        <v>49623.485000000001</v>
      </c>
      <c r="D21" s="13" t="str">
        <f t="shared" si="3"/>
        <v>vis</v>
      </c>
      <c r="E21" s="45">
        <f>VLOOKUP(C21,Active!C$21:E$973,3,FALSE)</f>
        <v>1241.0030732986625</v>
      </c>
      <c r="F21" s="5" t="s">
        <v>72</v>
      </c>
      <c r="G21" s="13" t="str">
        <f t="shared" si="4"/>
        <v>49623.485</v>
      </c>
      <c r="H21" s="28">
        <f t="shared" si="5"/>
        <v>1241</v>
      </c>
      <c r="I21" s="46" t="s">
        <v>227</v>
      </c>
      <c r="J21" s="47" t="s">
        <v>228</v>
      </c>
      <c r="K21" s="46">
        <v>1241</v>
      </c>
      <c r="L21" s="46" t="s">
        <v>229</v>
      </c>
      <c r="M21" s="47" t="s">
        <v>93</v>
      </c>
      <c r="N21" s="47"/>
      <c r="O21" s="48" t="s">
        <v>230</v>
      </c>
      <c r="P21" s="49" t="s">
        <v>231</v>
      </c>
    </row>
    <row r="22" spans="1:16" ht="12.75" customHeight="1" thickBot="1">
      <c r="A22" s="28" t="str">
        <f t="shared" si="0"/>
        <v>OEJV 0028 </v>
      </c>
      <c r="B22" s="5" t="str">
        <f t="shared" si="1"/>
        <v>I</v>
      </c>
      <c r="C22" s="28">
        <f t="shared" si="2"/>
        <v>53635.031999999999</v>
      </c>
      <c r="D22" s="13" t="str">
        <f t="shared" si="3"/>
        <v>vis</v>
      </c>
      <c r="E22" s="45">
        <f>VLOOKUP(C22,Active!C$21:E$973,3,FALSE)</f>
        <v>2028.0088778472414</v>
      </c>
      <c r="F22" s="5" t="s">
        <v>72</v>
      </c>
      <c r="G22" s="13" t="str">
        <f t="shared" si="4"/>
        <v>53635.032</v>
      </c>
      <c r="H22" s="28">
        <f t="shared" si="5"/>
        <v>2028</v>
      </c>
      <c r="I22" s="46" t="s">
        <v>244</v>
      </c>
      <c r="J22" s="47" t="s">
        <v>245</v>
      </c>
      <c r="K22" s="46">
        <v>2028</v>
      </c>
      <c r="L22" s="46" t="s">
        <v>246</v>
      </c>
      <c r="M22" s="47" t="s">
        <v>93</v>
      </c>
      <c r="N22" s="47"/>
      <c r="O22" s="48" t="s">
        <v>239</v>
      </c>
      <c r="P22" s="49" t="s">
        <v>247</v>
      </c>
    </row>
    <row r="23" spans="1:16" ht="12.75" customHeight="1" thickBot="1">
      <c r="A23" s="28" t="str">
        <f t="shared" si="0"/>
        <v>OEJV 0074 </v>
      </c>
      <c r="B23" s="5" t="str">
        <f t="shared" si="1"/>
        <v>I</v>
      </c>
      <c r="C23" s="28">
        <f t="shared" si="2"/>
        <v>53818.535620000002</v>
      </c>
      <c r="D23" s="13" t="str">
        <f t="shared" si="3"/>
        <v>vis</v>
      </c>
      <c r="E23" s="45">
        <f>VLOOKUP(C23,Active!C$21:E$973,3,FALSE)</f>
        <v>2064.0095564123135</v>
      </c>
      <c r="F23" s="5" t="s">
        <v>72</v>
      </c>
      <c r="G23" s="13" t="str">
        <f t="shared" si="4"/>
        <v>53818.53562</v>
      </c>
      <c r="H23" s="28">
        <f t="shared" si="5"/>
        <v>2064</v>
      </c>
      <c r="I23" s="46" t="s">
        <v>248</v>
      </c>
      <c r="J23" s="47" t="s">
        <v>249</v>
      </c>
      <c r="K23" s="46">
        <v>2064</v>
      </c>
      <c r="L23" s="46" t="s">
        <v>250</v>
      </c>
      <c r="M23" s="47" t="s">
        <v>251</v>
      </c>
      <c r="N23" s="47" t="s">
        <v>252</v>
      </c>
      <c r="O23" s="48" t="s">
        <v>253</v>
      </c>
      <c r="P23" s="49" t="s">
        <v>254</v>
      </c>
    </row>
    <row r="24" spans="1:16" ht="12.75" customHeight="1" thickBot="1">
      <c r="A24" s="28" t="str">
        <f t="shared" si="0"/>
        <v>BAVM 232 </v>
      </c>
      <c r="B24" s="5" t="str">
        <f t="shared" si="1"/>
        <v>I</v>
      </c>
      <c r="C24" s="28">
        <f t="shared" si="2"/>
        <v>56219.346100000002</v>
      </c>
      <c r="D24" s="13" t="str">
        <f t="shared" si="3"/>
        <v>vis</v>
      </c>
      <c r="E24" s="45">
        <f>VLOOKUP(C24,Active!C$21:E$973,3,FALSE)</f>
        <v>2535.0128335473091</v>
      </c>
      <c r="F24" s="5" t="s">
        <v>72</v>
      </c>
      <c r="G24" s="13" t="str">
        <f t="shared" si="4"/>
        <v>56219.3461</v>
      </c>
      <c r="H24" s="28">
        <f t="shared" si="5"/>
        <v>2535</v>
      </c>
      <c r="I24" s="46" t="s">
        <v>255</v>
      </c>
      <c r="J24" s="47" t="s">
        <v>256</v>
      </c>
      <c r="K24" s="46">
        <v>2535</v>
      </c>
      <c r="L24" s="46" t="s">
        <v>257</v>
      </c>
      <c r="M24" s="47" t="s">
        <v>251</v>
      </c>
      <c r="N24" s="47" t="s">
        <v>258</v>
      </c>
      <c r="O24" s="48" t="s">
        <v>259</v>
      </c>
      <c r="P24" s="49" t="s">
        <v>260</v>
      </c>
    </row>
    <row r="25" spans="1:16" ht="12.75" customHeight="1" thickBot="1">
      <c r="A25" s="28" t="str">
        <f t="shared" si="0"/>
        <v>BAVM 234 </v>
      </c>
      <c r="B25" s="5" t="str">
        <f t="shared" si="1"/>
        <v>I</v>
      </c>
      <c r="C25" s="28">
        <f t="shared" si="2"/>
        <v>56596.540500000003</v>
      </c>
      <c r="D25" s="13" t="str">
        <f t="shared" si="3"/>
        <v>vis</v>
      </c>
      <c r="E25" s="45">
        <f>VLOOKUP(C25,Active!C$21:E$973,3,FALSE)</f>
        <v>2609.0127598209438</v>
      </c>
      <c r="F25" s="5" t="s">
        <v>72</v>
      </c>
      <c r="G25" s="13" t="str">
        <f t="shared" si="4"/>
        <v>56596.5405</v>
      </c>
      <c r="H25" s="28">
        <f t="shared" si="5"/>
        <v>2609</v>
      </c>
      <c r="I25" s="46" t="s">
        <v>261</v>
      </c>
      <c r="J25" s="47" t="s">
        <v>262</v>
      </c>
      <c r="K25" s="46" t="s">
        <v>263</v>
      </c>
      <c r="L25" s="46" t="s">
        <v>264</v>
      </c>
      <c r="M25" s="47" t="s">
        <v>251</v>
      </c>
      <c r="N25" s="47" t="s">
        <v>258</v>
      </c>
      <c r="O25" s="48" t="s">
        <v>259</v>
      </c>
      <c r="P25" s="49" t="s">
        <v>265</v>
      </c>
    </row>
    <row r="26" spans="1:16" ht="12.75" customHeight="1" thickBot="1">
      <c r="A26" s="28" t="str">
        <f t="shared" si="0"/>
        <v>OEJV 0172 </v>
      </c>
      <c r="B26" s="5" t="str">
        <f t="shared" si="1"/>
        <v>I</v>
      </c>
      <c r="C26" s="28">
        <f t="shared" si="2"/>
        <v>56856.497000000003</v>
      </c>
      <c r="D26" s="13" t="str">
        <f t="shared" si="3"/>
        <v>vis</v>
      </c>
      <c r="E26" s="45">
        <f>VLOOKUP(C26,Active!C$21:E$973,3,FALSE)</f>
        <v>2660.0123553460944</v>
      </c>
      <c r="F26" s="5" t="s">
        <v>72</v>
      </c>
      <c r="G26" s="13" t="str">
        <f t="shared" si="4"/>
        <v>56856.497</v>
      </c>
      <c r="H26" s="28">
        <f t="shared" si="5"/>
        <v>2660</v>
      </c>
      <c r="I26" s="46" t="s">
        <v>266</v>
      </c>
      <c r="J26" s="47" t="s">
        <v>267</v>
      </c>
      <c r="K26" s="46" t="s">
        <v>268</v>
      </c>
      <c r="L26" s="46" t="s">
        <v>269</v>
      </c>
      <c r="M26" s="47" t="s">
        <v>251</v>
      </c>
      <c r="N26" s="47" t="s">
        <v>270</v>
      </c>
      <c r="O26" s="48" t="s">
        <v>219</v>
      </c>
      <c r="P26" s="49" t="s">
        <v>271</v>
      </c>
    </row>
    <row r="27" spans="1:16" ht="12.75" customHeight="1" thickBot="1">
      <c r="A27" s="28" t="str">
        <f t="shared" si="0"/>
        <v>BAVM 239 </v>
      </c>
      <c r="B27" s="5" t="str">
        <f t="shared" si="1"/>
        <v>I</v>
      </c>
      <c r="C27" s="28">
        <f t="shared" si="2"/>
        <v>56907.476900000001</v>
      </c>
      <c r="D27" s="13" t="str">
        <f t="shared" si="3"/>
        <v>vis</v>
      </c>
      <c r="E27" s="45">
        <f>VLOOKUP(C27,Active!C$21:E$973,3,FALSE)</f>
        <v>2670.0138528270677</v>
      </c>
      <c r="F27" s="5" t="s">
        <v>72</v>
      </c>
      <c r="G27" s="13" t="str">
        <f t="shared" si="4"/>
        <v>56907.4769</v>
      </c>
      <c r="H27" s="28">
        <f t="shared" si="5"/>
        <v>2670</v>
      </c>
      <c r="I27" s="46" t="s">
        <v>272</v>
      </c>
      <c r="J27" s="47" t="s">
        <v>273</v>
      </c>
      <c r="K27" s="46" t="s">
        <v>274</v>
      </c>
      <c r="L27" s="46" t="s">
        <v>275</v>
      </c>
      <c r="M27" s="47" t="s">
        <v>251</v>
      </c>
      <c r="N27" s="47" t="s">
        <v>258</v>
      </c>
      <c r="O27" s="48" t="s">
        <v>259</v>
      </c>
      <c r="P27" s="49" t="s">
        <v>276</v>
      </c>
    </row>
    <row r="28" spans="1:16" ht="12.75" customHeight="1" thickBot="1">
      <c r="A28" s="28" t="str">
        <f t="shared" si="0"/>
        <v>BAVM 239 </v>
      </c>
      <c r="B28" s="5" t="str">
        <f t="shared" si="1"/>
        <v>II</v>
      </c>
      <c r="C28" s="28">
        <f t="shared" si="2"/>
        <v>56930.4182</v>
      </c>
      <c r="D28" s="13" t="str">
        <f t="shared" si="3"/>
        <v>vis</v>
      </c>
      <c r="E28" s="45">
        <f>VLOOKUP(C28,Active!C$21:E$973,3,FALSE)</f>
        <v>2674.5145943773696</v>
      </c>
      <c r="F28" s="5" t="s">
        <v>72</v>
      </c>
      <c r="G28" s="13" t="str">
        <f t="shared" si="4"/>
        <v>56930.4182</v>
      </c>
      <c r="H28" s="28">
        <f t="shared" si="5"/>
        <v>2674.5</v>
      </c>
      <c r="I28" s="46" t="s">
        <v>277</v>
      </c>
      <c r="J28" s="47" t="s">
        <v>278</v>
      </c>
      <c r="K28" s="46" t="s">
        <v>279</v>
      </c>
      <c r="L28" s="46" t="s">
        <v>280</v>
      </c>
      <c r="M28" s="47" t="s">
        <v>251</v>
      </c>
      <c r="N28" s="47" t="s">
        <v>258</v>
      </c>
      <c r="O28" s="48" t="s">
        <v>259</v>
      </c>
      <c r="P28" s="49" t="s">
        <v>276</v>
      </c>
    </row>
    <row r="29" spans="1:16" ht="12.75" customHeight="1" thickBot="1">
      <c r="A29" s="28" t="str">
        <f t="shared" si="0"/>
        <v> VBB 8.6.46 </v>
      </c>
      <c r="B29" s="5" t="str">
        <f t="shared" si="1"/>
        <v>I</v>
      </c>
      <c r="C29" s="28">
        <f t="shared" si="2"/>
        <v>25029.51</v>
      </c>
      <c r="D29" s="13" t="str">
        <f t="shared" si="3"/>
        <v>vis</v>
      </c>
      <c r="E29" s="45">
        <f>VLOOKUP(C29,Active!C$21:E$973,3,FALSE)</f>
        <v>-3583.9687098868885</v>
      </c>
      <c r="F29" s="5" t="s">
        <v>72</v>
      </c>
      <c r="G29" s="13" t="str">
        <f t="shared" si="4"/>
        <v>25029.51</v>
      </c>
      <c r="H29" s="28">
        <f t="shared" si="5"/>
        <v>-3584</v>
      </c>
      <c r="I29" s="46" t="s">
        <v>75</v>
      </c>
      <c r="J29" s="47" t="s">
        <v>76</v>
      </c>
      <c r="K29" s="46">
        <v>-3584</v>
      </c>
      <c r="L29" s="46" t="s">
        <v>77</v>
      </c>
      <c r="M29" s="47" t="s">
        <v>78</v>
      </c>
      <c r="N29" s="47"/>
      <c r="O29" s="48" t="s">
        <v>79</v>
      </c>
      <c r="P29" s="48" t="s">
        <v>80</v>
      </c>
    </row>
    <row r="30" spans="1:16" ht="12.75" customHeight="1" thickBot="1">
      <c r="A30" s="28" t="str">
        <f t="shared" si="0"/>
        <v> VBB 8.6.46 </v>
      </c>
      <c r="B30" s="5" t="str">
        <f t="shared" si="1"/>
        <v>I</v>
      </c>
      <c r="C30" s="28">
        <f t="shared" si="2"/>
        <v>25126.35</v>
      </c>
      <c r="D30" s="13" t="str">
        <f t="shared" si="3"/>
        <v>vis</v>
      </c>
      <c r="E30" s="45">
        <f>VLOOKUP(C30,Active!C$21:E$973,3,FALSE)</f>
        <v>-3564.9701434703702</v>
      </c>
      <c r="F30" s="5" t="s">
        <v>72</v>
      </c>
      <c r="G30" s="13" t="str">
        <f t="shared" si="4"/>
        <v>25126.35</v>
      </c>
      <c r="H30" s="28">
        <f t="shared" si="5"/>
        <v>-3565</v>
      </c>
      <c r="I30" s="46" t="s">
        <v>81</v>
      </c>
      <c r="J30" s="47" t="s">
        <v>82</v>
      </c>
      <c r="K30" s="46">
        <v>-3565</v>
      </c>
      <c r="L30" s="46" t="s">
        <v>83</v>
      </c>
      <c r="M30" s="47" t="s">
        <v>78</v>
      </c>
      <c r="N30" s="47"/>
      <c r="O30" s="48" t="s">
        <v>79</v>
      </c>
      <c r="P30" s="48" t="s">
        <v>80</v>
      </c>
    </row>
    <row r="31" spans="1:16" ht="12.75" customHeight="1" thickBot="1">
      <c r="A31" s="28" t="str">
        <f t="shared" si="0"/>
        <v> VBB 8.6.46 </v>
      </c>
      <c r="B31" s="5" t="str">
        <f t="shared" si="1"/>
        <v>I</v>
      </c>
      <c r="C31" s="28">
        <f t="shared" si="2"/>
        <v>25131.47</v>
      </c>
      <c r="D31" s="13" t="str">
        <f t="shared" si="3"/>
        <v>vis</v>
      </c>
      <c r="E31" s="45">
        <f>VLOOKUP(C31,Active!C$21:E$973,3,FALSE)</f>
        <v>-3563.9656756879185</v>
      </c>
      <c r="F31" s="5" t="s">
        <v>72</v>
      </c>
      <c r="G31" s="13" t="str">
        <f t="shared" si="4"/>
        <v>25131.47</v>
      </c>
      <c r="H31" s="28">
        <f t="shared" si="5"/>
        <v>-3564</v>
      </c>
      <c r="I31" s="46" t="s">
        <v>84</v>
      </c>
      <c r="J31" s="47" t="s">
        <v>85</v>
      </c>
      <c r="K31" s="46">
        <v>-3564</v>
      </c>
      <c r="L31" s="46" t="s">
        <v>86</v>
      </c>
      <c r="M31" s="47" t="s">
        <v>78</v>
      </c>
      <c r="N31" s="47"/>
      <c r="O31" s="48" t="s">
        <v>79</v>
      </c>
      <c r="P31" s="48" t="s">
        <v>80</v>
      </c>
    </row>
    <row r="32" spans="1:16" ht="12.75" customHeight="1" thickBot="1">
      <c r="A32" s="28" t="str">
        <f t="shared" si="0"/>
        <v> VBB 8.6.46 </v>
      </c>
      <c r="B32" s="5" t="str">
        <f t="shared" si="1"/>
        <v>I</v>
      </c>
      <c r="C32" s="28">
        <f t="shared" si="2"/>
        <v>25773.47</v>
      </c>
      <c r="D32" s="13" t="str">
        <f t="shared" si="3"/>
        <v>vis</v>
      </c>
      <c r="E32" s="45">
        <f>VLOOKUP(C32,Active!C$21:E$973,3,FALSE)</f>
        <v>-3438.0148326539997</v>
      </c>
      <c r="F32" s="5" t="s">
        <v>72</v>
      </c>
      <c r="G32" s="13" t="str">
        <f t="shared" si="4"/>
        <v>25773.47</v>
      </c>
      <c r="H32" s="28">
        <f t="shared" si="5"/>
        <v>-3438</v>
      </c>
      <c r="I32" s="46" t="s">
        <v>87</v>
      </c>
      <c r="J32" s="47" t="s">
        <v>88</v>
      </c>
      <c r="K32" s="46">
        <v>-3438</v>
      </c>
      <c r="L32" s="46" t="s">
        <v>89</v>
      </c>
      <c r="M32" s="47" t="s">
        <v>78</v>
      </c>
      <c r="N32" s="47"/>
      <c r="O32" s="48" t="s">
        <v>79</v>
      </c>
      <c r="P32" s="48" t="s">
        <v>80</v>
      </c>
    </row>
    <row r="33" spans="1:16" ht="12.75" customHeight="1" thickBot="1">
      <c r="A33" s="28" t="str">
        <f t="shared" si="0"/>
        <v> AAC 1.91 </v>
      </c>
      <c r="B33" s="5" t="str">
        <f t="shared" si="1"/>
        <v>I</v>
      </c>
      <c r="C33" s="28">
        <f t="shared" si="2"/>
        <v>25860.18</v>
      </c>
      <c r="D33" s="13" t="str">
        <f t="shared" si="3"/>
        <v>vis</v>
      </c>
      <c r="E33" s="45">
        <f>VLOOKUP(C33,Active!C$21:E$973,3,FALSE)</f>
        <v>-3421.0036214398706</v>
      </c>
      <c r="F33" s="5" t="s">
        <v>72</v>
      </c>
      <c r="G33" s="13" t="str">
        <f t="shared" si="4"/>
        <v>25860.18</v>
      </c>
      <c r="H33" s="28">
        <f t="shared" si="5"/>
        <v>-3421</v>
      </c>
      <c r="I33" s="46" t="s">
        <v>90</v>
      </c>
      <c r="J33" s="47" t="s">
        <v>91</v>
      </c>
      <c r="K33" s="46">
        <v>-3421</v>
      </c>
      <c r="L33" s="46" t="s">
        <v>92</v>
      </c>
      <c r="M33" s="47" t="s">
        <v>93</v>
      </c>
      <c r="N33" s="47"/>
      <c r="O33" s="48" t="s">
        <v>94</v>
      </c>
      <c r="P33" s="48" t="s">
        <v>95</v>
      </c>
    </row>
    <row r="34" spans="1:16" ht="12.75" customHeight="1" thickBot="1">
      <c r="A34" s="28" t="str">
        <f t="shared" si="0"/>
        <v> AAC 1.91 </v>
      </c>
      <c r="B34" s="5" t="str">
        <f t="shared" si="1"/>
        <v>II</v>
      </c>
      <c r="C34" s="28">
        <f t="shared" si="2"/>
        <v>25862.720000000001</v>
      </c>
      <c r="D34" s="13" t="str">
        <f t="shared" si="3"/>
        <v>vis</v>
      </c>
      <c r="E34" s="45">
        <f>VLOOKUP(C34,Active!C$21:E$973,3,FALSE)</f>
        <v>-3420.5053112509199</v>
      </c>
      <c r="F34" s="5" t="s">
        <v>72</v>
      </c>
      <c r="G34" s="13" t="str">
        <f t="shared" si="4"/>
        <v>25862.72</v>
      </c>
      <c r="H34" s="28">
        <f t="shared" si="5"/>
        <v>-3420.5</v>
      </c>
      <c r="I34" s="46" t="s">
        <v>96</v>
      </c>
      <c r="J34" s="47" t="s">
        <v>97</v>
      </c>
      <c r="K34" s="46">
        <v>-3420.5</v>
      </c>
      <c r="L34" s="46" t="s">
        <v>98</v>
      </c>
      <c r="M34" s="47" t="s">
        <v>93</v>
      </c>
      <c r="N34" s="47"/>
      <c r="O34" s="48" t="s">
        <v>94</v>
      </c>
      <c r="P34" s="48" t="s">
        <v>95</v>
      </c>
    </row>
    <row r="35" spans="1:16" ht="12.75" customHeight="1" thickBot="1">
      <c r="A35" s="28" t="str">
        <f t="shared" si="0"/>
        <v> VBB 8.6.46 </v>
      </c>
      <c r="B35" s="5" t="str">
        <f t="shared" si="1"/>
        <v>I</v>
      </c>
      <c r="C35" s="28">
        <f t="shared" si="2"/>
        <v>25865.27</v>
      </c>
      <c r="D35" s="13" t="str">
        <f t="shared" si="3"/>
        <v>vis</v>
      </c>
      <c r="E35" s="45">
        <f>VLOOKUP(C35,Active!C$21:E$973,3,FALSE)</f>
        <v>-3420.0050392108319</v>
      </c>
      <c r="F35" s="5" t="s">
        <v>72</v>
      </c>
      <c r="G35" s="13" t="str">
        <f t="shared" si="4"/>
        <v>25865.27</v>
      </c>
      <c r="H35" s="28">
        <f t="shared" si="5"/>
        <v>-3420</v>
      </c>
      <c r="I35" s="46" t="s">
        <v>99</v>
      </c>
      <c r="J35" s="47" t="s">
        <v>100</v>
      </c>
      <c r="K35" s="46">
        <v>-3420</v>
      </c>
      <c r="L35" s="46" t="s">
        <v>98</v>
      </c>
      <c r="M35" s="47" t="s">
        <v>78</v>
      </c>
      <c r="N35" s="47"/>
      <c r="O35" s="48" t="s">
        <v>79</v>
      </c>
      <c r="P35" s="48" t="s">
        <v>80</v>
      </c>
    </row>
    <row r="36" spans="1:16" ht="12.75" customHeight="1" thickBot="1">
      <c r="A36" s="28" t="str">
        <f t="shared" si="0"/>
        <v> VBB 8.6.46 </v>
      </c>
      <c r="B36" s="5" t="str">
        <f t="shared" si="1"/>
        <v>I</v>
      </c>
      <c r="C36" s="28">
        <f t="shared" si="2"/>
        <v>25880.51</v>
      </c>
      <c r="D36" s="13" t="str">
        <f t="shared" si="3"/>
        <v>vis</v>
      </c>
      <c r="E36" s="45">
        <f>VLOOKUP(C36,Active!C$21:E$973,3,FALSE)</f>
        <v>-3417.0151780771303</v>
      </c>
      <c r="F36" s="5" t="s">
        <v>72</v>
      </c>
      <c r="G36" s="13" t="str">
        <f t="shared" si="4"/>
        <v>25880.51</v>
      </c>
      <c r="H36" s="28">
        <f t="shared" si="5"/>
        <v>-3417</v>
      </c>
      <c r="I36" s="46" t="s">
        <v>101</v>
      </c>
      <c r="J36" s="47" t="s">
        <v>102</v>
      </c>
      <c r="K36" s="46">
        <v>-3417</v>
      </c>
      <c r="L36" s="46" t="s">
        <v>89</v>
      </c>
      <c r="M36" s="47" t="s">
        <v>78</v>
      </c>
      <c r="N36" s="47"/>
      <c r="O36" s="48" t="s">
        <v>79</v>
      </c>
      <c r="P36" s="48" t="s">
        <v>80</v>
      </c>
    </row>
    <row r="37" spans="1:16" ht="12.75" customHeight="1" thickBot="1">
      <c r="A37" s="28" t="str">
        <f t="shared" si="0"/>
        <v> HB 917.7 </v>
      </c>
      <c r="B37" s="5" t="str">
        <f t="shared" si="1"/>
        <v>I</v>
      </c>
      <c r="C37" s="28">
        <f t="shared" si="2"/>
        <v>26033.52</v>
      </c>
      <c r="D37" s="13" t="str">
        <f t="shared" si="3"/>
        <v>vis</v>
      </c>
      <c r="E37" s="45">
        <f>VLOOKUP(C37,Active!C$21:E$973,3,FALSE)</f>
        <v>-3386.9968938207126</v>
      </c>
      <c r="F37" s="5" t="s">
        <v>72</v>
      </c>
      <c r="G37" s="13" t="str">
        <f t="shared" si="4"/>
        <v>26033.52</v>
      </c>
      <c r="H37" s="28">
        <f t="shared" si="5"/>
        <v>-3387</v>
      </c>
      <c r="I37" s="46" t="s">
        <v>103</v>
      </c>
      <c r="J37" s="47" t="s">
        <v>104</v>
      </c>
      <c r="K37" s="46">
        <v>-3387</v>
      </c>
      <c r="L37" s="46" t="s">
        <v>105</v>
      </c>
      <c r="M37" s="47" t="s">
        <v>74</v>
      </c>
      <c r="N37" s="47"/>
      <c r="O37" s="48" t="s">
        <v>106</v>
      </c>
      <c r="P37" s="48" t="s">
        <v>107</v>
      </c>
    </row>
    <row r="38" spans="1:16" ht="12.75" customHeight="1" thickBot="1">
      <c r="A38" s="28" t="str">
        <f t="shared" si="0"/>
        <v> COVS </v>
      </c>
      <c r="B38" s="5" t="str">
        <f t="shared" si="1"/>
        <v>I</v>
      </c>
      <c r="C38" s="28">
        <f t="shared" si="2"/>
        <v>27532.076000000001</v>
      </c>
      <c r="D38" s="13" t="str">
        <f t="shared" si="3"/>
        <v>vis</v>
      </c>
      <c r="E38" s="45">
        <f>VLOOKUP(C38,Active!C$21:E$973,3,FALSE)</f>
        <v>-3093.0025144849847</v>
      </c>
      <c r="F38" s="5" t="s">
        <v>72</v>
      </c>
      <c r="G38" s="13" t="str">
        <f t="shared" si="4"/>
        <v>27532.076</v>
      </c>
      <c r="H38" s="28">
        <f t="shared" si="5"/>
        <v>-3093</v>
      </c>
      <c r="I38" s="46" t="s">
        <v>108</v>
      </c>
      <c r="J38" s="47" t="s">
        <v>109</v>
      </c>
      <c r="K38" s="46">
        <v>-3093</v>
      </c>
      <c r="L38" s="46" t="s">
        <v>110</v>
      </c>
      <c r="M38" s="47" t="s">
        <v>93</v>
      </c>
      <c r="N38" s="47"/>
      <c r="O38" s="48" t="s">
        <v>111</v>
      </c>
      <c r="P38" s="48" t="s">
        <v>112</v>
      </c>
    </row>
    <row r="39" spans="1:16" ht="12.75" customHeight="1" thickBot="1">
      <c r="A39" s="28" t="str">
        <f t="shared" si="0"/>
        <v> AAC 2.139 </v>
      </c>
      <c r="B39" s="5" t="str">
        <f t="shared" si="1"/>
        <v>I</v>
      </c>
      <c r="C39" s="28">
        <f t="shared" si="2"/>
        <v>27914.386999999999</v>
      </c>
      <c r="D39" s="13" t="str">
        <f t="shared" si="3"/>
        <v>vis</v>
      </c>
      <c r="E39" s="45">
        <f>VLOOKUP(C39,Active!C$21:E$973,3,FALSE)</f>
        <v>-3017.9987874582862</v>
      </c>
      <c r="F39" s="5" t="s">
        <v>72</v>
      </c>
      <c r="G39" s="13" t="str">
        <f t="shared" si="4"/>
        <v>27914.387</v>
      </c>
      <c r="H39" s="28">
        <f t="shared" si="5"/>
        <v>-3018</v>
      </c>
      <c r="I39" s="46" t="s">
        <v>113</v>
      </c>
      <c r="J39" s="47" t="s">
        <v>114</v>
      </c>
      <c r="K39" s="46">
        <v>-3018</v>
      </c>
      <c r="L39" s="46" t="s">
        <v>115</v>
      </c>
      <c r="M39" s="47" t="s">
        <v>93</v>
      </c>
      <c r="N39" s="47"/>
      <c r="O39" s="48" t="s">
        <v>116</v>
      </c>
      <c r="P39" s="48" t="s">
        <v>117</v>
      </c>
    </row>
    <row r="40" spans="1:16" ht="12.75" customHeight="1" thickBot="1">
      <c r="A40" s="28" t="str">
        <f t="shared" si="0"/>
        <v> AAC 2.139 </v>
      </c>
      <c r="B40" s="5" t="str">
        <f t="shared" si="1"/>
        <v>I</v>
      </c>
      <c r="C40" s="28">
        <f t="shared" si="2"/>
        <v>27919.526999999998</v>
      </c>
      <c r="D40" s="13" t="str">
        <f t="shared" si="3"/>
        <v>vis</v>
      </c>
      <c r="E40" s="45">
        <f>VLOOKUP(C40,Active!C$21:E$973,3,FALSE)</f>
        <v>-3016.9903959735602</v>
      </c>
      <c r="F40" s="5" t="s">
        <v>72</v>
      </c>
      <c r="G40" s="13" t="str">
        <f t="shared" si="4"/>
        <v>27919.527</v>
      </c>
      <c r="H40" s="28">
        <f t="shared" si="5"/>
        <v>-3017</v>
      </c>
      <c r="I40" s="46" t="s">
        <v>118</v>
      </c>
      <c r="J40" s="47" t="s">
        <v>119</v>
      </c>
      <c r="K40" s="46">
        <v>-3017</v>
      </c>
      <c r="L40" s="46" t="s">
        <v>120</v>
      </c>
      <c r="M40" s="47" t="s">
        <v>93</v>
      </c>
      <c r="N40" s="47"/>
      <c r="O40" s="48" t="s">
        <v>116</v>
      </c>
      <c r="P40" s="48" t="s">
        <v>117</v>
      </c>
    </row>
    <row r="41" spans="1:16" ht="12.75" customHeight="1" thickBot="1">
      <c r="A41" s="28" t="str">
        <f t="shared" si="0"/>
        <v> AAC 2.139 </v>
      </c>
      <c r="B41" s="5" t="str">
        <f t="shared" si="1"/>
        <v>I</v>
      </c>
      <c r="C41" s="28">
        <f t="shared" si="2"/>
        <v>27924.602999999999</v>
      </c>
      <c r="D41" s="13" t="str">
        <f t="shared" si="3"/>
        <v>vis</v>
      </c>
      <c r="E41" s="45">
        <f>VLOOKUP(C41,Active!C$21:E$973,3,FALSE)</f>
        <v>-3015.9945603361139</v>
      </c>
      <c r="F41" s="5" t="s">
        <v>72</v>
      </c>
      <c r="G41" s="13" t="str">
        <f t="shared" si="4"/>
        <v>27924.603</v>
      </c>
      <c r="H41" s="28">
        <f t="shared" si="5"/>
        <v>-3016</v>
      </c>
      <c r="I41" s="46" t="s">
        <v>121</v>
      </c>
      <c r="J41" s="47" t="s">
        <v>122</v>
      </c>
      <c r="K41" s="46">
        <v>-3016</v>
      </c>
      <c r="L41" s="46" t="s">
        <v>123</v>
      </c>
      <c r="M41" s="47" t="s">
        <v>93</v>
      </c>
      <c r="N41" s="47"/>
      <c r="O41" s="48" t="s">
        <v>116</v>
      </c>
      <c r="P41" s="48" t="s">
        <v>117</v>
      </c>
    </row>
    <row r="42" spans="1:16" ht="12.75" customHeight="1" thickBot="1">
      <c r="A42" s="28" t="str">
        <f t="shared" si="0"/>
        <v> AAC 2.139 </v>
      </c>
      <c r="B42" s="5" t="str">
        <f t="shared" si="1"/>
        <v>I</v>
      </c>
      <c r="C42" s="28">
        <f t="shared" si="2"/>
        <v>27929.657999999999</v>
      </c>
      <c r="D42" s="13" t="str">
        <f t="shared" si="3"/>
        <v>vis</v>
      </c>
      <c r="E42" s="45">
        <f>VLOOKUP(C42,Active!C$21:E$973,3,FALSE)</f>
        <v>-3015.0028445860571</v>
      </c>
      <c r="F42" s="5" t="s">
        <v>72</v>
      </c>
      <c r="G42" s="13" t="str">
        <f t="shared" si="4"/>
        <v>27929.658</v>
      </c>
      <c r="H42" s="28">
        <f t="shared" si="5"/>
        <v>-3015</v>
      </c>
      <c r="I42" s="46" t="s">
        <v>124</v>
      </c>
      <c r="J42" s="47" t="s">
        <v>125</v>
      </c>
      <c r="K42" s="46">
        <v>-3015</v>
      </c>
      <c r="L42" s="46" t="s">
        <v>126</v>
      </c>
      <c r="M42" s="47" t="s">
        <v>93</v>
      </c>
      <c r="N42" s="47"/>
      <c r="O42" s="48" t="s">
        <v>116</v>
      </c>
      <c r="P42" s="48" t="s">
        <v>117</v>
      </c>
    </row>
    <row r="43" spans="1:16" ht="12.75" customHeight="1" thickBot="1">
      <c r="A43" s="28" t="str">
        <f t="shared" ref="A43:A62" si="6">P43</f>
        <v> AAC 2.139 </v>
      </c>
      <c r="B43" s="5" t="str">
        <f t="shared" ref="B43:B62" si="7">IF(H43=INT(H43),"I","II")</f>
        <v>I</v>
      </c>
      <c r="C43" s="28">
        <f t="shared" ref="C43:C62" si="8">1*G43</f>
        <v>27960.261999999999</v>
      </c>
      <c r="D43" s="13" t="str">
        <f t="shared" ref="D43:D62" si="9">VLOOKUP(F43,I$1:J$5,2,FALSE)</f>
        <v>vis</v>
      </c>
      <c r="E43" s="45">
        <f>VLOOKUP(C43,Active!C$21:E$973,3,FALSE)</f>
        <v>-3008.9987953645464</v>
      </c>
      <c r="F43" s="5" t="s">
        <v>72</v>
      </c>
      <c r="G43" s="13" t="str">
        <f t="shared" ref="G43:G62" si="10">MID(I43,3,LEN(I43)-3)</f>
        <v>27960.262</v>
      </c>
      <c r="H43" s="28">
        <f t="shared" ref="H43:H62" si="11">1*K43</f>
        <v>-3009</v>
      </c>
      <c r="I43" s="46" t="s">
        <v>127</v>
      </c>
      <c r="J43" s="47" t="s">
        <v>128</v>
      </c>
      <c r="K43" s="46">
        <v>-3009</v>
      </c>
      <c r="L43" s="46" t="s">
        <v>115</v>
      </c>
      <c r="M43" s="47" t="s">
        <v>93</v>
      </c>
      <c r="N43" s="47"/>
      <c r="O43" s="48" t="s">
        <v>116</v>
      </c>
      <c r="P43" s="48" t="s">
        <v>117</v>
      </c>
    </row>
    <row r="44" spans="1:16" ht="12.75" customHeight="1" thickBot="1">
      <c r="A44" s="28" t="str">
        <f t="shared" si="6"/>
        <v> AAC 2.139 </v>
      </c>
      <c r="B44" s="5" t="str">
        <f t="shared" si="7"/>
        <v>I</v>
      </c>
      <c r="C44" s="28">
        <f t="shared" si="8"/>
        <v>27965.326000000001</v>
      </c>
      <c r="D44" s="13" t="str">
        <f t="shared" si="9"/>
        <v>vis</v>
      </c>
      <c r="E44" s="45">
        <f>VLOOKUP(C44,Active!C$21:E$973,3,FALSE)</f>
        <v>-3008.0053139484653</v>
      </c>
      <c r="F44" s="5" t="s">
        <v>72</v>
      </c>
      <c r="G44" s="13" t="str">
        <f t="shared" si="10"/>
        <v>27965.326</v>
      </c>
      <c r="H44" s="28">
        <f t="shared" si="11"/>
        <v>-3008</v>
      </c>
      <c r="I44" s="46" t="s">
        <v>129</v>
      </c>
      <c r="J44" s="47" t="s">
        <v>130</v>
      </c>
      <c r="K44" s="46">
        <v>-3008</v>
      </c>
      <c r="L44" s="46" t="s">
        <v>131</v>
      </c>
      <c r="M44" s="47" t="s">
        <v>93</v>
      </c>
      <c r="N44" s="47"/>
      <c r="O44" s="48" t="s">
        <v>116</v>
      </c>
      <c r="P44" s="48" t="s">
        <v>117</v>
      </c>
    </row>
    <row r="45" spans="1:16" ht="12.75" customHeight="1" thickBot="1">
      <c r="A45" s="28" t="str">
        <f t="shared" si="6"/>
        <v> AAC 2.139 </v>
      </c>
      <c r="B45" s="5" t="str">
        <f t="shared" si="7"/>
        <v>I</v>
      </c>
      <c r="C45" s="28">
        <f t="shared" si="8"/>
        <v>27970.438999999998</v>
      </c>
      <c r="D45" s="13" t="str">
        <f t="shared" si="9"/>
        <v>vis</v>
      </c>
      <c r="E45" s="45">
        <f>VLOOKUP(C45,Active!C$21:E$973,3,FALSE)</f>
        <v>-3007.0022194618109</v>
      </c>
      <c r="F45" s="5" t="s">
        <v>72</v>
      </c>
      <c r="G45" s="13" t="str">
        <f t="shared" si="10"/>
        <v>27970.439</v>
      </c>
      <c r="H45" s="28">
        <f t="shared" si="11"/>
        <v>-3007</v>
      </c>
      <c r="I45" s="46" t="s">
        <v>132</v>
      </c>
      <c r="J45" s="47" t="s">
        <v>133</v>
      </c>
      <c r="K45" s="46">
        <v>-3007</v>
      </c>
      <c r="L45" s="46" t="s">
        <v>134</v>
      </c>
      <c r="M45" s="47" t="s">
        <v>93</v>
      </c>
      <c r="N45" s="47"/>
      <c r="O45" s="48" t="s">
        <v>116</v>
      </c>
      <c r="P45" s="48" t="s">
        <v>117</v>
      </c>
    </row>
    <row r="46" spans="1:16" ht="12.75" customHeight="1" thickBot="1">
      <c r="A46" s="28" t="str">
        <f t="shared" si="6"/>
        <v> AAC 2.139 </v>
      </c>
      <c r="B46" s="5" t="str">
        <f t="shared" si="7"/>
        <v>I</v>
      </c>
      <c r="C46" s="28">
        <f t="shared" si="8"/>
        <v>27975.578000000001</v>
      </c>
      <c r="D46" s="13" t="str">
        <f t="shared" si="9"/>
        <v>vis</v>
      </c>
      <c r="E46" s="45">
        <f>VLOOKUP(C46,Active!C$21:E$973,3,FALSE)</f>
        <v>-3005.9940241621975</v>
      </c>
      <c r="F46" s="5" t="s">
        <v>72</v>
      </c>
      <c r="G46" s="13" t="str">
        <f t="shared" si="10"/>
        <v>27975.578</v>
      </c>
      <c r="H46" s="28">
        <f t="shared" si="11"/>
        <v>-3006</v>
      </c>
      <c r="I46" s="46" t="s">
        <v>135</v>
      </c>
      <c r="J46" s="47" t="s">
        <v>136</v>
      </c>
      <c r="K46" s="46">
        <v>-3006</v>
      </c>
      <c r="L46" s="46" t="s">
        <v>137</v>
      </c>
      <c r="M46" s="47" t="s">
        <v>93</v>
      </c>
      <c r="N46" s="47"/>
      <c r="O46" s="48" t="s">
        <v>116</v>
      </c>
      <c r="P46" s="48" t="s">
        <v>117</v>
      </c>
    </row>
    <row r="47" spans="1:16" ht="12.75" customHeight="1" thickBot="1">
      <c r="A47" s="28" t="str">
        <f t="shared" si="6"/>
        <v> AAC 2.139 </v>
      </c>
      <c r="B47" s="5" t="str">
        <f t="shared" si="7"/>
        <v>I</v>
      </c>
      <c r="C47" s="28">
        <f t="shared" si="8"/>
        <v>27980.670999999998</v>
      </c>
      <c r="D47" s="13" t="str">
        <f t="shared" si="9"/>
        <v>vis</v>
      </c>
      <c r="E47" s="45">
        <f>VLOOKUP(C47,Active!C$21:E$973,3,FALSE)</f>
        <v>-3004.9948533778188</v>
      </c>
      <c r="F47" s="5" t="s">
        <v>72</v>
      </c>
      <c r="G47" s="13" t="str">
        <f t="shared" si="10"/>
        <v>27980.671</v>
      </c>
      <c r="H47" s="28">
        <f t="shared" si="11"/>
        <v>-3005</v>
      </c>
      <c r="I47" s="46" t="s">
        <v>138</v>
      </c>
      <c r="J47" s="47" t="s">
        <v>139</v>
      </c>
      <c r="K47" s="46">
        <v>-3005</v>
      </c>
      <c r="L47" s="46" t="s">
        <v>140</v>
      </c>
      <c r="M47" s="47" t="s">
        <v>93</v>
      </c>
      <c r="N47" s="47"/>
      <c r="O47" s="48" t="s">
        <v>116</v>
      </c>
      <c r="P47" s="48" t="s">
        <v>117</v>
      </c>
    </row>
    <row r="48" spans="1:16" ht="12.75" customHeight="1" thickBot="1">
      <c r="A48" s="28" t="str">
        <f t="shared" si="6"/>
        <v> AAC 2.139 </v>
      </c>
      <c r="B48" s="5" t="str">
        <f t="shared" si="7"/>
        <v>I</v>
      </c>
      <c r="C48" s="28">
        <f t="shared" si="8"/>
        <v>28011.295999999998</v>
      </c>
      <c r="D48" s="13" t="str">
        <f t="shared" si="9"/>
        <v>vis</v>
      </c>
      <c r="E48" s="45">
        <f>VLOOKUP(C48,Active!C$21:E$973,3,FALSE)</f>
        <v>-2998.9866842689189</v>
      </c>
      <c r="F48" s="5" t="s">
        <v>72</v>
      </c>
      <c r="G48" s="13" t="str">
        <f t="shared" si="10"/>
        <v>28011.296</v>
      </c>
      <c r="H48" s="28">
        <f t="shared" si="11"/>
        <v>-2999</v>
      </c>
      <c r="I48" s="46" t="s">
        <v>141</v>
      </c>
      <c r="J48" s="47" t="s">
        <v>142</v>
      </c>
      <c r="K48" s="46">
        <v>-2999</v>
      </c>
      <c r="L48" s="46" t="s">
        <v>143</v>
      </c>
      <c r="M48" s="47" t="s">
        <v>93</v>
      </c>
      <c r="N48" s="47"/>
      <c r="O48" s="48" t="s">
        <v>116</v>
      </c>
      <c r="P48" s="48" t="s">
        <v>117</v>
      </c>
    </row>
    <row r="49" spans="1:16" ht="12.75" customHeight="1" thickBot="1">
      <c r="A49" s="28" t="str">
        <f t="shared" si="6"/>
        <v> AAC 2.139 </v>
      </c>
      <c r="B49" s="5" t="str">
        <f t="shared" si="7"/>
        <v>I</v>
      </c>
      <c r="C49" s="28">
        <f t="shared" si="8"/>
        <v>28021.418000000001</v>
      </c>
      <c r="D49" s="13" t="str">
        <f t="shared" si="9"/>
        <v>vis</v>
      </c>
      <c r="E49" s="45">
        <f>VLOOKUP(C49,Active!C$21:E$973,3,FALSE)</f>
        <v>-2997.0008985474392</v>
      </c>
      <c r="F49" s="5" t="s">
        <v>72</v>
      </c>
      <c r="G49" s="13" t="str">
        <f t="shared" si="10"/>
        <v>28021.418</v>
      </c>
      <c r="H49" s="28">
        <f t="shared" si="11"/>
        <v>-2997</v>
      </c>
      <c r="I49" s="46" t="s">
        <v>144</v>
      </c>
      <c r="J49" s="47" t="s">
        <v>145</v>
      </c>
      <c r="K49" s="46">
        <v>-2997</v>
      </c>
      <c r="L49" s="46" t="s">
        <v>146</v>
      </c>
      <c r="M49" s="47" t="s">
        <v>93</v>
      </c>
      <c r="N49" s="47"/>
      <c r="O49" s="48" t="s">
        <v>116</v>
      </c>
      <c r="P49" s="48" t="s">
        <v>117</v>
      </c>
    </row>
    <row r="50" spans="1:16" ht="12.75" customHeight="1" thickBot="1">
      <c r="A50" s="28" t="str">
        <f t="shared" si="6"/>
        <v> AAC 2.139 </v>
      </c>
      <c r="B50" s="5" t="str">
        <f t="shared" si="7"/>
        <v>I</v>
      </c>
      <c r="C50" s="28">
        <f t="shared" si="8"/>
        <v>28036.705999999998</v>
      </c>
      <c r="D50" s="13" t="str">
        <f t="shared" si="9"/>
        <v>vis</v>
      </c>
      <c r="E50" s="45">
        <f>VLOOKUP(C50,Active!C$21:E$973,3,FALSE)</f>
        <v>-2994.0016205282773</v>
      </c>
      <c r="F50" s="5" t="s">
        <v>72</v>
      </c>
      <c r="G50" s="13" t="str">
        <f t="shared" si="10"/>
        <v>28036.706</v>
      </c>
      <c r="H50" s="28">
        <f t="shared" si="11"/>
        <v>-2994</v>
      </c>
      <c r="I50" s="46" t="s">
        <v>147</v>
      </c>
      <c r="J50" s="47" t="s">
        <v>148</v>
      </c>
      <c r="K50" s="46">
        <v>-2994</v>
      </c>
      <c r="L50" s="46" t="s">
        <v>149</v>
      </c>
      <c r="M50" s="47" t="s">
        <v>93</v>
      </c>
      <c r="N50" s="47"/>
      <c r="O50" s="48" t="s">
        <v>116</v>
      </c>
      <c r="P50" s="48" t="s">
        <v>117</v>
      </c>
    </row>
    <row r="51" spans="1:16" ht="12.75" customHeight="1" thickBot="1">
      <c r="A51" s="28" t="str">
        <f t="shared" si="6"/>
        <v> COVS </v>
      </c>
      <c r="B51" s="5" t="str">
        <f t="shared" si="7"/>
        <v>I</v>
      </c>
      <c r="C51" s="28">
        <f t="shared" si="8"/>
        <v>28128.465</v>
      </c>
      <c r="D51" s="13" t="str">
        <f t="shared" si="9"/>
        <v>vis</v>
      </c>
      <c r="E51" s="45">
        <f>VLOOKUP(C51,Active!C$21:E$973,3,FALSE)</f>
        <v>-2975.9998706747733</v>
      </c>
      <c r="F51" s="5" t="s">
        <v>72</v>
      </c>
      <c r="G51" s="13" t="str">
        <f t="shared" si="10"/>
        <v>28128.465</v>
      </c>
      <c r="H51" s="28">
        <f t="shared" si="11"/>
        <v>-2976</v>
      </c>
      <c r="I51" s="46" t="s">
        <v>150</v>
      </c>
      <c r="J51" s="47" t="s">
        <v>151</v>
      </c>
      <c r="K51" s="46">
        <v>-2976</v>
      </c>
      <c r="L51" s="46" t="s">
        <v>152</v>
      </c>
      <c r="M51" s="47" t="s">
        <v>93</v>
      </c>
      <c r="N51" s="47"/>
      <c r="O51" s="48" t="s">
        <v>111</v>
      </c>
      <c r="P51" s="48" t="s">
        <v>112</v>
      </c>
    </row>
    <row r="52" spans="1:16" ht="12.75" customHeight="1" thickBot="1">
      <c r="A52" s="28" t="str">
        <f t="shared" si="6"/>
        <v> HA 113.73 </v>
      </c>
      <c r="B52" s="5" t="str">
        <f t="shared" si="7"/>
        <v>I</v>
      </c>
      <c r="C52" s="28">
        <f t="shared" si="8"/>
        <v>29877.040000000001</v>
      </c>
      <c r="D52" s="13" t="str">
        <f t="shared" si="9"/>
        <v>vis</v>
      </c>
      <c r="E52" s="45">
        <f>VLOOKUP(C52,Active!C$21:E$973,3,FALSE)</f>
        <v>-2632.955485381884</v>
      </c>
      <c r="F52" s="5" t="s">
        <v>72</v>
      </c>
      <c r="G52" s="13" t="str">
        <f t="shared" si="10"/>
        <v>29877.040</v>
      </c>
      <c r="H52" s="28">
        <f t="shared" si="11"/>
        <v>-2633</v>
      </c>
      <c r="I52" s="46" t="s">
        <v>153</v>
      </c>
      <c r="J52" s="47" t="s">
        <v>154</v>
      </c>
      <c r="K52" s="46">
        <v>-2633</v>
      </c>
      <c r="L52" s="46" t="s">
        <v>155</v>
      </c>
      <c r="M52" s="47" t="s">
        <v>74</v>
      </c>
      <c r="N52" s="47"/>
      <c r="O52" s="48" t="s">
        <v>156</v>
      </c>
      <c r="P52" s="48" t="s">
        <v>157</v>
      </c>
    </row>
    <row r="53" spans="1:16" ht="12.75" customHeight="1" thickBot="1">
      <c r="A53" s="28" t="str">
        <f t="shared" si="6"/>
        <v> BRNO 6 </v>
      </c>
      <c r="B53" s="5" t="str">
        <f t="shared" si="7"/>
        <v>I</v>
      </c>
      <c r="C53" s="28">
        <f t="shared" si="8"/>
        <v>37879.449000000001</v>
      </c>
      <c r="D53" s="13" t="str">
        <f t="shared" si="9"/>
        <v>vis</v>
      </c>
      <c r="E53" s="45">
        <f>VLOOKUP(C53,Active!C$21:E$973,3,FALSE)</f>
        <v>-1063.0019653628513</v>
      </c>
      <c r="F53" s="5" t="s">
        <v>72</v>
      </c>
      <c r="G53" s="13" t="str">
        <f t="shared" si="10"/>
        <v>37879.449</v>
      </c>
      <c r="H53" s="28">
        <f t="shared" si="11"/>
        <v>-1063</v>
      </c>
      <c r="I53" s="46" t="s">
        <v>158</v>
      </c>
      <c r="J53" s="47" t="s">
        <v>159</v>
      </c>
      <c r="K53" s="46">
        <v>-1063</v>
      </c>
      <c r="L53" s="46" t="s">
        <v>160</v>
      </c>
      <c r="M53" s="47" t="s">
        <v>93</v>
      </c>
      <c r="N53" s="47"/>
      <c r="O53" s="48" t="s">
        <v>161</v>
      </c>
      <c r="P53" s="48" t="s">
        <v>162</v>
      </c>
    </row>
    <row r="54" spans="1:16" ht="12.75" customHeight="1" thickBot="1">
      <c r="A54" s="28" t="str">
        <f t="shared" si="6"/>
        <v> BRNO 6 </v>
      </c>
      <c r="B54" s="5" t="str">
        <f t="shared" si="7"/>
        <v>I</v>
      </c>
      <c r="C54" s="28">
        <f t="shared" si="8"/>
        <v>38399.347000000002</v>
      </c>
      <c r="D54" s="13" t="str">
        <f t="shared" si="9"/>
        <v>vis</v>
      </c>
      <c r="E54" s="45">
        <f>VLOOKUP(C54,Active!C$21:E$973,3,FALSE)</f>
        <v>-961.00571708925554</v>
      </c>
      <c r="F54" s="5" t="s">
        <v>72</v>
      </c>
      <c r="G54" s="13" t="str">
        <f t="shared" si="10"/>
        <v>38399.347</v>
      </c>
      <c r="H54" s="28">
        <f t="shared" si="11"/>
        <v>-961</v>
      </c>
      <c r="I54" s="46" t="s">
        <v>163</v>
      </c>
      <c r="J54" s="47" t="s">
        <v>164</v>
      </c>
      <c r="K54" s="46">
        <v>-961</v>
      </c>
      <c r="L54" s="46" t="s">
        <v>165</v>
      </c>
      <c r="M54" s="47" t="s">
        <v>93</v>
      </c>
      <c r="N54" s="47"/>
      <c r="O54" s="48" t="s">
        <v>166</v>
      </c>
      <c r="P54" s="48" t="s">
        <v>162</v>
      </c>
    </row>
    <row r="55" spans="1:16" ht="12.75" customHeight="1" thickBot="1">
      <c r="A55" s="28" t="str">
        <f t="shared" si="6"/>
        <v> BRNO 6 </v>
      </c>
      <c r="B55" s="5" t="str">
        <f t="shared" si="7"/>
        <v>I</v>
      </c>
      <c r="C55" s="28">
        <f t="shared" si="8"/>
        <v>38399.351999999999</v>
      </c>
      <c r="D55" s="13" t="str">
        <f t="shared" si="9"/>
        <v>vis</v>
      </c>
      <c r="E55" s="45">
        <f>VLOOKUP(C55,Active!C$21:E$973,3,FALSE)</f>
        <v>-961.00473616368731</v>
      </c>
      <c r="F55" s="5" t="s">
        <v>72</v>
      </c>
      <c r="G55" s="13" t="str">
        <f t="shared" si="10"/>
        <v>38399.352</v>
      </c>
      <c r="H55" s="28">
        <f t="shared" si="11"/>
        <v>-961</v>
      </c>
      <c r="I55" s="46" t="s">
        <v>167</v>
      </c>
      <c r="J55" s="47" t="s">
        <v>168</v>
      </c>
      <c r="K55" s="46">
        <v>-961</v>
      </c>
      <c r="L55" s="46" t="s">
        <v>169</v>
      </c>
      <c r="M55" s="47" t="s">
        <v>93</v>
      </c>
      <c r="N55" s="47"/>
      <c r="O55" s="48" t="s">
        <v>170</v>
      </c>
      <c r="P55" s="48" t="s">
        <v>162</v>
      </c>
    </row>
    <row r="56" spans="1:16" ht="12.75" customHeight="1" thickBot="1">
      <c r="A56" s="28" t="str">
        <f t="shared" si="6"/>
        <v> AN 291.112 </v>
      </c>
      <c r="B56" s="5" t="str">
        <f t="shared" si="7"/>
        <v>I</v>
      </c>
      <c r="C56" s="28">
        <f t="shared" si="8"/>
        <v>39709.349000000002</v>
      </c>
      <c r="D56" s="13" t="str">
        <f t="shared" si="9"/>
        <v>vis</v>
      </c>
      <c r="E56" s="45">
        <f>VLOOKUP(C56,Active!C$21:E$973,3,FALSE)</f>
        <v>-704.0028256934304</v>
      </c>
      <c r="F56" s="5" t="s">
        <v>72</v>
      </c>
      <c r="G56" s="13" t="str">
        <f t="shared" si="10"/>
        <v>39709.349</v>
      </c>
      <c r="H56" s="28">
        <f t="shared" si="11"/>
        <v>-704</v>
      </c>
      <c r="I56" s="46" t="s">
        <v>171</v>
      </c>
      <c r="J56" s="47" t="s">
        <v>172</v>
      </c>
      <c r="K56" s="46">
        <v>-704</v>
      </c>
      <c r="L56" s="46" t="s">
        <v>126</v>
      </c>
      <c r="M56" s="47" t="s">
        <v>93</v>
      </c>
      <c r="N56" s="47"/>
      <c r="O56" s="48" t="s">
        <v>173</v>
      </c>
      <c r="P56" s="48" t="s">
        <v>174</v>
      </c>
    </row>
    <row r="57" spans="1:16" ht="12.75" customHeight="1" thickBot="1">
      <c r="A57" s="28" t="str">
        <f t="shared" si="6"/>
        <v> PTAO 38.178 </v>
      </c>
      <c r="B57" s="5" t="str">
        <f t="shared" si="7"/>
        <v>I</v>
      </c>
      <c r="C57" s="28">
        <f t="shared" si="8"/>
        <v>41269.112000000001</v>
      </c>
      <c r="D57" s="13" t="str">
        <f t="shared" si="9"/>
        <v>vis</v>
      </c>
      <c r="E57" s="45">
        <f>VLOOKUP(C57,Active!C$21:E$973,3,FALSE)</f>
        <v>-398.00054409979458</v>
      </c>
      <c r="F57" s="5" t="s">
        <v>72</v>
      </c>
      <c r="G57" s="13" t="str">
        <f t="shared" si="10"/>
        <v>41269.112</v>
      </c>
      <c r="H57" s="28">
        <f t="shared" si="11"/>
        <v>-398</v>
      </c>
      <c r="I57" s="46" t="s">
        <v>175</v>
      </c>
      <c r="J57" s="47" t="s">
        <v>176</v>
      </c>
      <c r="K57" s="46">
        <v>-398</v>
      </c>
      <c r="L57" s="46" t="s">
        <v>73</v>
      </c>
      <c r="M57" s="47" t="s">
        <v>177</v>
      </c>
      <c r="N57" s="47" t="s">
        <v>178</v>
      </c>
      <c r="O57" s="48" t="s">
        <v>179</v>
      </c>
      <c r="P57" s="48" t="s">
        <v>180</v>
      </c>
    </row>
    <row r="58" spans="1:16" ht="12.75" customHeight="1" thickBot="1">
      <c r="A58" s="28" t="str">
        <f t="shared" si="6"/>
        <v> PTAO 38.178 </v>
      </c>
      <c r="B58" s="5" t="str">
        <f t="shared" si="7"/>
        <v>I</v>
      </c>
      <c r="C58" s="28">
        <f t="shared" si="8"/>
        <v>42395.601000000002</v>
      </c>
      <c r="D58" s="13" t="str">
        <f t="shared" si="9"/>
        <v>vis</v>
      </c>
      <c r="E58" s="45">
        <f>VLOOKUP(C58,Active!C$21:E$973,3,FALSE)</f>
        <v>-177.00017148540775</v>
      </c>
      <c r="F58" s="5" t="s">
        <v>72</v>
      </c>
      <c r="G58" s="13" t="str">
        <f t="shared" si="10"/>
        <v>42395.601</v>
      </c>
      <c r="H58" s="28">
        <f t="shared" si="11"/>
        <v>-177</v>
      </c>
      <c r="I58" s="46" t="s">
        <v>181</v>
      </c>
      <c r="J58" s="47" t="s">
        <v>182</v>
      </c>
      <c r="K58" s="46">
        <v>-177</v>
      </c>
      <c r="L58" s="46" t="s">
        <v>183</v>
      </c>
      <c r="M58" s="47" t="s">
        <v>177</v>
      </c>
      <c r="N58" s="47" t="s">
        <v>178</v>
      </c>
      <c r="O58" s="48" t="s">
        <v>179</v>
      </c>
      <c r="P58" s="48" t="s">
        <v>180</v>
      </c>
    </row>
    <row r="59" spans="1:16" ht="12.75" customHeight="1" thickBot="1">
      <c r="A59" s="28" t="str">
        <f t="shared" si="6"/>
        <v> BAC 41.51 </v>
      </c>
      <c r="B59" s="5" t="str">
        <f t="shared" si="7"/>
        <v>I</v>
      </c>
      <c r="C59" s="28">
        <f t="shared" si="8"/>
        <v>43430.35</v>
      </c>
      <c r="D59" s="13" t="str">
        <f t="shared" si="9"/>
        <v>vis</v>
      </c>
      <c r="E59" s="45">
        <f>VLOOKUP(C59,Active!C$21:E$973,3,FALSE)</f>
        <v>26.002178792635814</v>
      </c>
      <c r="F59" s="5" t="s">
        <v>72</v>
      </c>
      <c r="G59" s="13" t="str">
        <f t="shared" si="10"/>
        <v>43430.350</v>
      </c>
      <c r="H59" s="28">
        <f t="shared" si="11"/>
        <v>26</v>
      </c>
      <c r="I59" s="46" t="s">
        <v>187</v>
      </c>
      <c r="J59" s="47" t="s">
        <v>188</v>
      </c>
      <c r="K59" s="46">
        <v>26</v>
      </c>
      <c r="L59" s="46" t="s">
        <v>189</v>
      </c>
      <c r="M59" s="47" t="s">
        <v>177</v>
      </c>
      <c r="N59" s="47" t="s">
        <v>178</v>
      </c>
      <c r="O59" s="48" t="s">
        <v>190</v>
      </c>
      <c r="P59" s="48" t="s">
        <v>191</v>
      </c>
    </row>
    <row r="60" spans="1:16" ht="12.75" customHeight="1" thickBot="1">
      <c r="A60" s="28" t="str">
        <f t="shared" si="6"/>
        <v> BBS 124 </v>
      </c>
      <c r="B60" s="5" t="str">
        <f t="shared" si="7"/>
        <v>I</v>
      </c>
      <c r="C60" s="28">
        <f t="shared" si="8"/>
        <v>51417.718000000001</v>
      </c>
      <c r="D60" s="13" t="str">
        <f t="shared" si="9"/>
        <v>vis</v>
      </c>
      <c r="E60" s="45">
        <f>VLOOKUP(C60,Active!C$21:E$973,3,FALSE)</f>
        <v>1593.0048785156052</v>
      </c>
      <c r="F60" s="5" t="s">
        <v>72</v>
      </c>
      <c r="G60" s="13" t="str">
        <f t="shared" si="10"/>
        <v>51417.718</v>
      </c>
      <c r="H60" s="28">
        <f t="shared" si="11"/>
        <v>1593</v>
      </c>
      <c r="I60" s="46" t="s">
        <v>232</v>
      </c>
      <c r="J60" s="47" t="s">
        <v>233</v>
      </c>
      <c r="K60" s="46">
        <v>1593</v>
      </c>
      <c r="L60" s="46" t="s">
        <v>226</v>
      </c>
      <c r="M60" s="47" t="s">
        <v>93</v>
      </c>
      <c r="N60" s="47"/>
      <c r="O60" s="48" t="s">
        <v>234</v>
      </c>
      <c r="P60" s="48" t="s">
        <v>235</v>
      </c>
    </row>
    <row r="61" spans="1:16" ht="12.75" customHeight="1" thickBot="1">
      <c r="A61" s="28" t="str">
        <f t="shared" si="6"/>
        <v>BAVM 154 </v>
      </c>
      <c r="B61" s="5" t="str">
        <f t="shared" si="7"/>
        <v>I</v>
      </c>
      <c r="C61" s="28">
        <f t="shared" si="8"/>
        <v>52080.375999999997</v>
      </c>
      <c r="D61" s="13" t="str">
        <f t="shared" si="9"/>
        <v>vis</v>
      </c>
      <c r="E61" s="45">
        <f>VLOOKUP(C61,Active!C$21:E$973,3,FALSE)</f>
        <v>1723.0085136295772</v>
      </c>
      <c r="F61" s="5" t="s">
        <v>72</v>
      </c>
      <c r="G61" s="13" t="str">
        <f t="shared" si="10"/>
        <v>52080.376</v>
      </c>
      <c r="H61" s="28">
        <f t="shared" si="11"/>
        <v>1723</v>
      </c>
      <c r="I61" s="46" t="s">
        <v>236</v>
      </c>
      <c r="J61" s="47" t="s">
        <v>237</v>
      </c>
      <c r="K61" s="46">
        <v>1723</v>
      </c>
      <c r="L61" s="46" t="s">
        <v>238</v>
      </c>
      <c r="M61" s="47" t="s">
        <v>93</v>
      </c>
      <c r="N61" s="47"/>
      <c r="O61" s="48" t="s">
        <v>239</v>
      </c>
      <c r="P61" s="49" t="s">
        <v>240</v>
      </c>
    </row>
    <row r="62" spans="1:16" ht="12.75" customHeight="1" thickBot="1">
      <c r="A62" s="28" t="str">
        <f t="shared" si="6"/>
        <v>BAVM 171 </v>
      </c>
      <c r="B62" s="5" t="str">
        <f t="shared" si="7"/>
        <v>I</v>
      </c>
      <c r="C62" s="28">
        <f t="shared" si="8"/>
        <v>52860.256999999998</v>
      </c>
      <c r="D62" s="13" t="str">
        <f t="shared" si="9"/>
        <v>vis</v>
      </c>
      <c r="E62" s="45">
        <f>VLOOKUP(C62,Active!C$21:E$973,3,FALSE)</f>
        <v>1876.0095563338384</v>
      </c>
      <c r="F62" s="5" t="s">
        <v>72</v>
      </c>
      <c r="G62" s="13" t="str">
        <f t="shared" si="10"/>
        <v>52860.257</v>
      </c>
      <c r="H62" s="28">
        <f t="shared" si="11"/>
        <v>1876</v>
      </c>
      <c r="I62" s="46" t="s">
        <v>241</v>
      </c>
      <c r="J62" s="47" t="s">
        <v>242</v>
      </c>
      <c r="K62" s="46">
        <v>1876</v>
      </c>
      <c r="L62" s="46" t="s">
        <v>120</v>
      </c>
      <c r="M62" s="47" t="s">
        <v>93</v>
      </c>
      <c r="N62" s="47"/>
      <c r="O62" s="48" t="s">
        <v>239</v>
      </c>
      <c r="P62" s="49" t="s">
        <v>243</v>
      </c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</sheetData>
  <phoneticPr fontId="8" type="noConversion"/>
  <hyperlinks>
    <hyperlink ref="P21" r:id="rId1" display="http://var.astro.cz/oejv/issues/oejv0060.pdf" xr:uid="{00000000-0004-0000-0100-000000000000}"/>
    <hyperlink ref="P61" r:id="rId2" display="http://www.bav-astro.de/sfs/BAVM_link.php?BAVMnr=154" xr:uid="{00000000-0004-0000-0100-000001000000}"/>
    <hyperlink ref="P62" r:id="rId3" display="http://www.bav-astro.de/sfs/BAVM_link.php?BAVMnr=171" xr:uid="{00000000-0004-0000-0100-000002000000}"/>
    <hyperlink ref="P22" r:id="rId4" display="http://var.astro.cz/oejv/issues/oejv0028.pdf" xr:uid="{00000000-0004-0000-0100-000003000000}"/>
    <hyperlink ref="P23" r:id="rId5" display="http://var.astro.cz/oejv/issues/oejv0074.pdf" xr:uid="{00000000-0004-0000-0100-000004000000}"/>
    <hyperlink ref="P24" r:id="rId6" display="http://www.bav-astro.de/sfs/BAVM_link.php?BAVMnr=232" xr:uid="{00000000-0004-0000-0100-000005000000}"/>
    <hyperlink ref="P25" r:id="rId7" display="http://www.bav-astro.de/sfs/BAVM_link.php?BAVMnr=234" xr:uid="{00000000-0004-0000-0100-000006000000}"/>
    <hyperlink ref="P26" r:id="rId8" display="http://var.astro.cz/oejv/issues/oejv0172.pdf" xr:uid="{00000000-0004-0000-0100-000007000000}"/>
    <hyperlink ref="P27" r:id="rId9" display="http://www.bav-astro.de/sfs/BAVM_link.php?BAVMnr=239" xr:uid="{00000000-0004-0000-0100-000008000000}"/>
    <hyperlink ref="P28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2024-01-25T06:32:37Z</dcterms:modified>
</cp:coreProperties>
</file>