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7E17151-553A-4917-B45C-B18434188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C17" i="1"/>
  <c r="Q21" i="1"/>
  <c r="C11" i="1"/>
  <c r="F15" i="1" l="1"/>
  <c r="C12" i="1"/>
  <c r="C16" i="1" l="1"/>
  <c r="D18" i="1" s="1"/>
  <c r="C15" i="1"/>
  <c r="O22" i="1"/>
  <c r="S22" i="1" s="1"/>
  <c r="O21" i="1"/>
  <c r="S21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<sst xmlns="http://schemas.openxmlformats.org/spreadsheetml/2006/main" count="57" uniqueCount="53">
  <si>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</si>
  <si>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</si>
  <si>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</si>
  <si>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</si>
  <si>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</si>
  <si>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</si>
  <si>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</si>
  <si>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</si>
  <si>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</si>
  <si>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</si>
  <si>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</si>
  <si>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</si>
  <si>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</si>
  <si>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</si>
  <si>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</si>
  <si>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</si>
  <si>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</si>
  <si>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</si>
  <si>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</si>
  <si>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</si>
  <si>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</si>
  <si>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</si>
  <si>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</si>
  <si>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</si>
  <si>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</si>
  <si>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</si>
  <si>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</si>
  <si>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</si>
  <si>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</si>
  <si>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</si>
  <si>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</si>
  <si>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</si>
  <si>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</si>
  <si>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</si>
  <si>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</si>
  <si>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</si>
  <si>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</si>
  <si>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</si>
  <si>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</si>
  <si>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</si>
  <si>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G5847-1888</t>
  </si>
  <si>
    <t>OEJV 0155</t>
  </si>
  <si>
    <t>I</t>
  </si>
  <si>
    <t>0,0100</t>
  </si>
  <si>
    <t>EB</t>
  </si>
  <si>
    <t>Cet</t>
  </si>
  <si>
    <t>VSX</t>
  </si>
  <si>
    <t>ASAS J004625-1602.9 Cet / GSC 5847-1888</t>
  </si>
  <si>
    <t>CCD</t>
  </si>
  <si>
    <t xml:space="preserve">Mag </t>
  </si>
  <si>
    <t>Next ToM-P</t>
  </si>
  <si>
    <t>Next ToM-S</t>
  </si>
  <si>
    <t>12.68-13.09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</si>
</sst>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5847-1888 -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2D-424C-A479-82814A2FF8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-1.802299999690149E-2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2D-424C-A479-82814A2FF8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2D-424C-A479-82814A2FF8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2D-424C-A479-82814A2FF8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2D-424C-A479-82814A2FF8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2D-424C-A479-82814A2FF8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2D-424C-A479-82814A2FF8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-1.802299999690149E-2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2D-424C-A479-82814A2FF8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2D-424C-A479-82814A2FF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82320"/>
        <c:axId val="1"/>
      </c:scatterChart>
      <c:valAx>
        <c:axId val="73448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8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05FF8B-3995-657C-F24B-F38E26C28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0" t="s">
        <v>47</v>
      </c>
    </row>
    <row r="2" spans="1:7" x14ac:dyDescent="0.2">
      <c r="A2" t="s">
        <v>24</v>
      </c>
      <c r="B2" t="s">
        <v>44</v>
      </c>
      <c r="C2" s="25" t="s">
        <v>39</v>
      </c>
      <c r="D2" s="2" t="s">
        <v>45</v>
      </c>
      <c r="E2" s="26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2" t="s">
        <v>38</v>
      </c>
      <c r="D4" s="23" t="s">
        <v>38</v>
      </c>
    </row>
    <row r="6" spans="1:7" x14ac:dyDescent="0.2">
      <c r="A6" s="4" t="s">
        <v>1</v>
      </c>
    </row>
    <row r="7" spans="1:7" x14ac:dyDescent="0.2">
      <c r="A7" t="s">
        <v>2</v>
      </c>
      <c r="C7" s="31">
        <v>53634.828999999998</v>
      </c>
      <c r="D7" s="24" t="s">
        <v>46</v>
      </c>
    </row>
    <row r="8" spans="1:7" x14ac:dyDescent="0.2">
      <c r="A8" t="s">
        <v>3</v>
      </c>
      <c r="C8" s="31">
        <v>0.61966900000000003</v>
      </c>
      <c r="D8" s="24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16">
        <f ca="1">INTERCEPT(INDIRECT($G$11):G992,INDIRECT($F$11):F992)</f>
        <v>0</v>
      </c>
      <c r="D11" s="2"/>
      <c r="E11" s="9"/>
      <c r="F11" s="17" t="str">
        <f>"F"&amp;E19</f>
        <v>F21</v>
      </c>
      <c r="G11" s="18" t="str">
        <f>"G"&amp;E19</f>
        <v>G21</v>
      </c>
    </row>
    <row r="12" spans="1:7" x14ac:dyDescent="0.2">
      <c r="A12" s="9" t="s">
        <v>16</v>
      </c>
      <c r="B12" s="9"/>
      <c r="C12" s="16">
        <f ca="1">SLOPE(INDIRECT($G$11):G992,INDIRECT($F$11):F992)</f>
        <v>-9.6534547385653393E-6</v>
      </c>
      <c r="D12" s="2"/>
      <c r="E12" s="34" t="s">
        <v>49</v>
      </c>
      <c r="F12" s="35" t="s">
        <v>52</v>
      </c>
    </row>
    <row r="13" spans="1:7" x14ac:dyDescent="0.2">
      <c r="A13" s="9" t="s">
        <v>19</v>
      </c>
      <c r="B13" s="9"/>
      <c r="C13" s="2" t="s">
        <v>13</v>
      </c>
      <c r="D13" s="12"/>
      <c r="E13" s="36" t="s">
        <v>35</v>
      </c>
      <c r="F13" s="37">
        <v>1</v>
      </c>
    </row>
    <row r="14" spans="1:7" x14ac:dyDescent="0.2">
      <c r="A14" s="9"/>
      <c r="B14" s="9"/>
      <c r="C14" s="9"/>
      <c r="D14" s="12"/>
      <c r="E14" s="36" t="s">
        <v>32</v>
      </c>
      <c r="F14" s="38">
        <f ca="1">NOW()+15018.5+$C$9/24</f>
        <v>60520.872223495368</v>
      </c>
    </row>
    <row r="15" spans="1:7" x14ac:dyDescent="0.2">
      <c r="A15" s="11" t="s">
        <v>17</v>
      </c>
      <c r="B15" s="9"/>
      <c r="C15" s="33">
        <f ca="1">(C7+C11)+(C8+C12)*INT(MAX(F21:F3533))</f>
        <v>54791.733</v>
      </c>
      <c r="D15" s="12"/>
      <c r="E15" s="36" t="s">
        <v>36</v>
      </c>
      <c r="F15" s="38">
        <f ca="1">ROUND(2*($F$14-$C$7)/$C$8,0)/2+$F$13</f>
        <v>11113.5</v>
      </c>
    </row>
    <row r="16" spans="1:7" x14ac:dyDescent="0.2">
      <c r="A16" s="13" t="s">
        <v>4</v>
      </c>
      <c r="B16" s="9"/>
      <c r="C16" s="32">
        <f ca="1">+C8+C12</f>
        <v>0.61965934654526145</v>
      </c>
      <c r="D16" s="12"/>
      <c r="E16" s="36" t="s">
        <v>37</v>
      </c>
      <c r="F16" s="38">
        <f ca="1">ROUND(2*($F$14-$C$15)/$C$16,0)/2+$F$13</f>
        <v>9246.5</v>
      </c>
    </row>
    <row r="17" spans="1:19" ht="13.5" thickBot="1" x14ac:dyDescent="0.25">
      <c r="A17" s="12" t="s">
        <v>29</v>
      </c>
      <c r="B17" s="9"/>
      <c r="C17" s="9">
        <f>COUNT(C21:C2191)</f>
        <v>2</v>
      </c>
      <c r="D17" s="12"/>
      <c r="E17" s="39" t="s">
        <v>50</v>
      </c>
      <c r="F17" s="40">
        <f ca="1">+$C$15+$C$16*$F$16-15018.5-$C$9/24</f>
        <v>45503.308981164097</v>
      </c>
    </row>
    <row r="18" spans="1:19" ht="14.25" thickTop="1" thickBot="1" x14ac:dyDescent="0.25">
      <c r="A18" s="13" t="s">
        <v>5</v>
      </c>
      <c r="B18" s="9"/>
      <c r="C18" s="14">
        <f ca="1">+C15</f>
        <v>54791.733</v>
      </c>
      <c r="D18" s="15">
        <f ca="1">+C16</f>
        <v>0.61965934654526145</v>
      </c>
      <c r="E18" s="42" t="s">
        <v>51</v>
      </c>
      <c r="F18" s="41">
        <f ca="1">+($C$15+$C$16*$F$16)-($C$16/2)-15018.5-$C$9/24</f>
        <v>45502.999151490825</v>
      </c>
    </row>
    <row r="19" spans="1:19" ht="13.5" thickTop="1" x14ac:dyDescent="0.2">
      <c r="A19" s="19" t="s">
        <v>33</v>
      </c>
      <c r="E19" s="20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48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1" t="s">
        <v>34</v>
      </c>
    </row>
    <row r="21" spans="1:19" x14ac:dyDescent="0.2">
      <c r="A21" t="str">
        <f>D7</f>
        <v>VSX</v>
      </c>
      <c r="C21" s="7">
        <f>C$7</f>
        <v>53634.828999999998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38616.328999999998</v>
      </c>
      <c r="S21">
        <f ca="1">+(O21-G21)^2</f>
        <v>0</v>
      </c>
    </row>
    <row r="22" spans="1:19" x14ac:dyDescent="0.2">
      <c r="A22" s="27" t="s">
        <v>41</v>
      </c>
      <c r="B22" s="28" t="s">
        <v>42</v>
      </c>
      <c r="C22" s="29">
        <v>54791.733</v>
      </c>
      <c r="D22" s="27" t="s">
        <v>43</v>
      </c>
      <c r="E22">
        <f>+(C22-C$7)/C$8</f>
        <v>1866.9709151175905</v>
      </c>
      <c r="F22">
        <f>ROUND(2*E22,0)/2</f>
        <v>1867</v>
      </c>
      <c r="G22">
        <f>+C22-(C$7+F22*C$8)</f>
        <v>-1.802299999690149E-2</v>
      </c>
      <c r="I22">
        <f>+G22</f>
        <v>-1.802299999690149E-2</v>
      </c>
      <c r="O22">
        <f ca="1">+C$11+C$12*$F22</f>
        <v>-1.802299999690149E-2</v>
      </c>
      <c r="Q22" s="1">
        <f>+C22-15018.5</f>
        <v>39773.233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2024-07-29T08:56:00Z</dcterms:modified>
</cp:coreProperties>
</file>