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B46505F-2DC0-4656-9916-098D54C6C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I22" i="1" s="1"/>
  <c r="E23" i="1"/>
  <c r="F23" i="1" s="1"/>
  <c r="G23" i="1" s="1"/>
  <c r="J23" i="1" s="1"/>
  <c r="Q22" i="1"/>
  <c r="Q23" i="1"/>
  <c r="F11" i="1"/>
  <c r="E21" i="1"/>
  <c r="F21" i="1" s="1"/>
  <c r="G21" i="1" s="1"/>
  <c r="H21" i="1" s="1"/>
  <c r="H20" i="1"/>
  <c r="G11" i="1"/>
  <c r="C17" i="1"/>
  <c r="Q21" i="1"/>
  <c r="C11" i="1"/>
  <c r="F15" i="1" l="1"/>
  <c r="C12" i="1"/>
  <c r="O21" i="1" l="1"/>
  <c r="S21" i="1" s="1"/>
  <c r="O22" i="1"/>
  <c r="S22" i="1" s="1"/>
  <c r="C16" i="1"/>
  <c r="D18" i="1" s="1"/>
  <c r="O23" i="1"/>
  <c r="S23" i="1" s="1"/>
  <c r="C15" i="1"/>
  <c r="F16" i="1" s="1"/>
  <c r="F17" i="1" s="1"/>
  <c r="S19" i="1"/>
  <c r="C18" i="1" l="1"/>
  <c r="F18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<sst xmlns="http://schemas.openxmlformats.org/spreadsheetml/2006/main" count="60" uniqueCount="55">
  <si>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</si>
  <si>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</si>
  <si>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</si>
  <si>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</si>
  <si>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</si>
  <si>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</si>
  <si>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</si>
  <si>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</si>
  <si>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</si>
  <si>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</si>
  <si>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</si>
  <si>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</si>
  <si>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</si>
  <si>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</si>
  <si>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</si>
  <si>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</si>
  <si>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</si>
  <si>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</si>
  <si>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</si>
  <si>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</si>
  <si>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</si>
  <si>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</si>
  <si>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</si>
  <si>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</si>
  <si>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</si>
  <si>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</si>
  <si>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</si>
  <si>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</si>
  <si>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</si>
  <si>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</si>
  <si>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</si>
  <si>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</si>
  <si>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</si>
  <si>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</si>
  <si>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</si>
  <si>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</si>
  <si>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</si>
  <si>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</si>
  <si>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</si>
  <si>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G5276-0366</t>
  </si>
  <si>
    <t>OEJV 0155</t>
  </si>
  <si>
    <t>II</t>
  </si>
  <si>
    <t>0,0100</t>
  </si>
  <si>
    <t>IBVS 6011</t>
  </si>
  <si>
    <t>I</t>
  </si>
  <si>
    <t>EC</t>
  </si>
  <si>
    <t>Cet</t>
  </si>
  <si>
    <t>VSX</t>
  </si>
  <si>
    <t>OEJV</t>
  </si>
  <si>
    <t>CCD</t>
  </si>
  <si>
    <t>ASAS J012513-1144.3 Cet / GSC 5276-0366</t>
  </si>
  <si>
    <t>Next ToM-P</t>
  </si>
  <si>
    <t>Next ToM-S</t>
  </si>
  <si>
    <t>13.28 (0.43)</t>
  </si>
  <si>
    <t xml:space="preserve">Mag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</si>
</sst>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6" fillId="0" borderId="0" xfId="0" applyFont="1" applyAlignment="1"/>
    <xf numFmtId="0" fontId="4" fillId="0" borderId="0" xfId="0" applyFont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8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5276-0366 -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D-49A0-8D30-B40F87CE250F}"/>
            </c:ext>
          </c:extLst>
        </c:ser>
        <c:ser>
          <c:idx val="1"/>
          <c:order val="1"/>
          <c:tx>
            <c:strRef>
              <c:f>Acive!$I$20:$I$20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Acive!$I$21:$I$999</c:f>
              <c:numCache>
                <c:formatCode>General</c:formatCode>
                <c:ptCount val="979"/>
                <c:pt idx="1">
                  <c:v>-2.1679999998013955E-2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D-49A0-8D30-B40F87CE250F}"/>
            </c:ext>
          </c:extLst>
        </c:ser>
        <c:ser>
          <c:idx val="3"/>
          <c:order val="2"/>
          <c:tx>
            <c:strRef>
              <c:f>Acive!$J$20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Acive!$J$21:$J$999</c:f>
              <c:numCache>
                <c:formatCode>General</c:formatCode>
                <c:ptCount val="979"/>
                <c:pt idx="2">
                  <c:v>-4.5160000001487788E-2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4D-49A0-8D30-B40F87CE250F}"/>
            </c:ext>
          </c:extLst>
        </c:ser>
        <c:ser>
          <c:idx val="4"/>
          <c:order val="3"/>
          <c:tx>
            <c:strRef>
              <c:f>Acive!$K$20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4D-49A0-8D30-B40F87CE250F}"/>
            </c:ext>
          </c:extLst>
        </c:ser>
        <c:ser>
          <c:idx val="2"/>
          <c:order val="4"/>
          <c:tx>
            <c:strRef>
              <c:f>Acive!$L$20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4D-49A0-8D30-B40F87CE250F}"/>
            </c:ext>
          </c:extLst>
        </c:ser>
        <c:ser>
          <c:idx val="5"/>
          <c:order val="5"/>
          <c:tx>
            <c:strRef>
              <c:f>Acive!$M$20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4D-49A0-8D30-B40F87CE250F}"/>
            </c:ext>
          </c:extLst>
        </c:ser>
        <c:ser>
          <c:idx val="6"/>
          <c:order val="6"/>
          <c:tx>
            <c:strRef>
              <c:f>Acive!$N$20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4D-49A0-8D30-B40F87CE250F}"/>
            </c:ext>
          </c:extLst>
        </c:ser>
        <c:ser>
          <c:idx val="7"/>
          <c:order val="7"/>
          <c:tx>
            <c:strRef>
              <c:f>Acive!$O$20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Acive!$O$21:$O$999</c:f>
              <c:numCache>
                <c:formatCode>General</c:formatCode>
                <c:ptCount val="979"/>
                <c:pt idx="0">
                  <c:v>8.2061571224649812E-4</c:v>
                </c:pt>
                <c:pt idx="1">
                  <c:v>-2.3461490916268393E-2</c:v>
                </c:pt>
                <c:pt idx="2">
                  <c:v>-4.4199124795479855E-2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4D-49A0-8D30-B40F87CE250F}"/>
            </c:ext>
          </c:extLst>
        </c:ser>
        <c:ser>
          <c:idx val="8"/>
          <c:order val="8"/>
          <c:tx>
            <c:strRef>
              <c:f>Acive!$R$20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6148.5</c:v>
                </c:pt>
                <c:pt idx="2">
                  <c:v>11399.5</c:v>
                </c:pt>
              </c:numCache>
            </c:numRef>
          </c:xVal>
          <c:yVal>
            <c:numRef>
              <c:f>Acive!$R$21:$R$999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4D-49A0-8D30-B40F87CE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977328"/>
        <c:axId val="1"/>
      </c:scatterChart>
      <c:valAx>
        <c:axId val="50597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97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0E4F9F-0206-BAED-757C-9D95EE1B2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8" sqref="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50</v>
      </c>
    </row>
    <row r="2" spans="1:7" x14ac:dyDescent="0.2">
      <c r="A2" t="s">
        <v>23</v>
      </c>
      <c r="B2" t="s">
        <v>45</v>
      </c>
      <c r="C2" s="25" t="s">
        <v>38</v>
      </c>
      <c r="D2" s="2" t="s">
        <v>46</v>
      </c>
      <c r="E2" s="26" t="s">
        <v>39</v>
      </c>
      <c r="F2" t="s">
        <v>39</v>
      </c>
    </row>
    <row r="3" spans="1:7" ht="13.5" thickBot="1" x14ac:dyDescent="0.25"/>
    <row r="4" spans="1:7" ht="14.25" thickTop="1" thickBot="1" x14ac:dyDescent="0.25">
      <c r="A4" s="4" t="s">
        <v>0</v>
      </c>
      <c r="C4" s="23" t="s">
        <v>37</v>
      </c>
      <c r="D4" s="24" t="s">
        <v>37</v>
      </c>
    </row>
    <row r="6" spans="1:7" x14ac:dyDescent="0.2">
      <c r="A6" s="4" t="s">
        <v>1</v>
      </c>
      <c r="E6" s="45"/>
    </row>
    <row r="7" spans="1:7" x14ac:dyDescent="0.2">
      <c r="A7" t="s">
        <v>2</v>
      </c>
      <c r="C7" s="34">
        <v>51870.07</v>
      </c>
      <c r="D7" s="44" t="s">
        <v>47</v>
      </c>
      <c r="E7" s="46"/>
    </row>
    <row r="8" spans="1:7" x14ac:dyDescent="0.2">
      <c r="A8" t="s">
        <v>3</v>
      </c>
      <c r="C8" s="34">
        <v>0.35288000000000003</v>
      </c>
      <c r="D8" s="44" t="s">
        <v>47</v>
      </c>
      <c r="E8" s="46"/>
    </row>
    <row r="9" spans="1:7" x14ac:dyDescent="0.2">
      <c r="A9" s="8" t="s">
        <v>29</v>
      </c>
      <c r="B9" s="9"/>
      <c r="C9" s="32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7">
        <f ca="1">INTERCEPT(INDIRECT($G$11):G992,INDIRECT($F$11):F992)</f>
        <v>8.2061571224649812E-4</v>
      </c>
      <c r="D11" s="2"/>
      <c r="E11" s="9"/>
      <c r="F11" s="18" t="str">
        <f>"F"&amp;E19</f>
        <v>F21</v>
      </c>
      <c r="G11" s="19" t="str">
        <f>"G"&amp;E19</f>
        <v>G21</v>
      </c>
    </row>
    <row r="12" spans="1:7" x14ac:dyDescent="0.2">
      <c r="A12" s="9" t="s">
        <v>16</v>
      </c>
      <c r="B12" s="9"/>
      <c r="C12" s="17">
        <f ca="1">SLOPE(INDIRECT($G$11):G992,INDIRECT($F$11):F992)</f>
        <v>-3.9492732582767975E-6</v>
      </c>
      <c r="D12" s="2"/>
      <c r="E12" s="35" t="s">
        <v>54</v>
      </c>
      <c r="F12" s="42" t="s">
        <v>53</v>
      </c>
    </row>
    <row r="13" spans="1:7" x14ac:dyDescent="0.2">
      <c r="A13" s="9" t="s">
        <v>18</v>
      </c>
      <c r="B13" s="9"/>
      <c r="C13" s="2" t="s">
        <v>13</v>
      </c>
      <c r="D13" s="12"/>
      <c r="E13" s="36" t="s">
        <v>34</v>
      </c>
      <c r="F13" s="43">
        <v>1</v>
      </c>
    </row>
    <row r="14" spans="1:7" x14ac:dyDescent="0.2">
      <c r="A14" s="9"/>
      <c r="B14" s="9"/>
      <c r="C14" s="9"/>
      <c r="D14" s="12"/>
      <c r="E14" s="36" t="s">
        <v>31</v>
      </c>
      <c r="F14" s="37">
        <f ca="1">NOW()+15018.5+$C$9/24</f>
        <v>60520.872333680556</v>
      </c>
    </row>
    <row r="15" spans="1:7" x14ac:dyDescent="0.2">
      <c r="A15" s="10" t="s">
        <v>17</v>
      </c>
      <c r="B15" s="9"/>
      <c r="C15" s="11">
        <f ca="1">(C7+C11)+(C8+C12)*INT(MAX(F21:F3533))</f>
        <v>55892.504922849846</v>
      </c>
      <c r="D15" s="12"/>
      <c r="E15" s="36" t="s">
        <v>35</v>
      </c>
      <c r="F15" s="37">
        <f ca="1">ROUND(2*($F$14-$C$7)/$C$8,0)/2+$F$13</f>
        <v>24516</v>
      </c>
    </row>
    <row r="16" spans="1:7" x14ac:dyDescent="0.2">
      <c r="A16" s="13" t="s">
        <v>4</v>
      </c>
      <c r="B16" s="9"/>
      <c r="C16" s="14">
        <f ca="1">+C8+C12</f>
        <v>0.35287605072674177</v>
      </c>
      <c r="D16" s="12"/>
      <c r="E16" s="36" t="s">
        <v>36</v>
      </c>
      <c r="F16" s="37">
        <f ca="1">ROUND(2*($F$14-$C$15)/$C$16,0)/2+$F$13</f>
        <v>13117</v>
      </c>
    </row>
    <row r="17" spans="1:19" ht="13.5" thickBot="1" x14ac:dyDescent="0.25">
      <c r="A17" s="12" t="s">
        <v>28</v>
      </c>
      <c r="B17" s="9"/>
      <c r="C17" s="9">
        <f>COUNT(C21:C2191)</f>
        <v>3</v>
      </c>
      <c r="D17" s="12"/>
      <c r="E17" s="38" t="s">
        <v>51</v>
      </c>
      <c r="F17" s="39">
        <f ca="1">+$C$15+$C$16*$F$16-15018.5-$C$9/24</f>
        <v>45503.075913565852</v>
      </c>
    </row>
    <row r="18" spans="1:19" ht="14.25" thickTop="1" thickBot="1" x14ac:dyDescent="0.25">
      <c r="A18" s="13" t="s">
        <v>5</v>
      </c>
      <c r="B18" s="9"/>
      <c r="C18" s="15">
        <f ca="1">+C15</f>
        <v>55892.504922849846</v>
      </c>
      <c r="D18" s="16">
        <f ca="1">+C16</f>
        <v>0.35287605072674177</v>
      </c>
      <c r="E18" s="41" t="s">
        <v>52</v>
      </c>
      <c r="F18" s="40">
        <f ca="1">+($C$15+$C$16*$F$16)-($C$16/2)-15018.5-$C$9/24</f>
        <v>45502.899475540486</v>
      </c>
    </row>
    <row r="19" spans="1:19" ht="13.5" thickTop="1" x14ac:dyDescent="0.2">
      <c r="A19" s="20" t="s">
        <v>32</v>
      </c>
      <c r="E19" s="21">
        <v>21</v>
      </c>
      <c r="S19">
        <f ca="1">SQRT(SUM(S21:S50)/(COUNT(S21:S50)-1))</f>
        <v>1.5444094665161916E-3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48</v>
      </c>
      <c r="J20" s="6" t="s">
        <v>27</v>
      </c>
      <c r="K20" s="6" t="s">
        <v>49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22" t="s">
        <v>33</v>
      </c>
    </row>
    <row r="21" spans="1:19" x14ac:dyDescent="0.2">
      <c r="A21" t="s">
        <v>47</v>
      </c>
      <c r="C21" s="7">
        <v>51870.07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8.2061571224649812E-4</v>
      </c>
      <c r="Q21" s="1">
        <f>+C21-15018.5</f>
        <v>36851.57</v>
      </c>
      <c r="S21">
        <f ca="1">+(O21-G21)^2</f>
        <v>6.7341014718582743E-7</v>
      </c>
    </row>
    <row r="22" spans="1:19" x14ac:dyDescent="0.2">
      <c r="A22" s="27" t="s">
        <v>40</v>
      </c>
      <c r="B22" s="28" t="s">
        <v>41</v>
      </c>
      <c r="C22" s="29">
        <v>54039.731</v>
      </c>
      <c r="D22" s="27" t="s">
        <v>42</v>
      </c>
      <c r="E22">
        <f>+(C22-C$7)/C$8</f>
        <v>6148.4385626841986</v>
      </c>
      <c r="F22">
        <f>ROUND(2*E22,0)/2</f>
        <v>6148.5</v>
      </c>
      <c r="G22">
        <f>+C22-(C$7+F22*C$8)</f>
        <v>-2.1679999998013955E-2</v>
      </c>
      <c r="I22">
        <f>+G22</f>
        <v>-2.1679999998013955E-2</v>
      </c>
      <c r="O22">
        <f ca="1">+C$11+C$12*$F22</f>
        <v>-2.3461490916268393E-2</v>
      </c>
      <c r="Q22" s="1">
        <f>+C22-15018.5</f>
        <v>39021.231</v>
      </c>
      <c r="S22">
        <f ca="1">+(O22-G22)^2</f>
        <v>3.1737098918230405E-6</v>
      </c>
    </row>
    <row r="23" spans="1:19" x14ac:dyDescent="0.2">
      <c r="A23" s="30" t="s">
        <v>43</v>
      </c>
      <c r="B23" s="31" t="s">
        <v>44</v>
      </c>
      <c r="C23" s="30">
        <v>55892.680399999997</v>
      </c>
      <c r="D23" s="30">
        <v>2.9999999999999997E-4</v>
      </c>
      <c r="E23">
        <f>+(C23-C$7)/C$8</f>
        <v>11399.372024484237</v>
      </c>
      <c r="F23">
        <f>ROUND(2*E23,0)/2</f>
        <v>11399.5</v>
      </c>
      <c r="G23">
        <f>+C23-(C$7+F23*C$8)</f>
        <v>-4.5160000001487788E-2</v>
      </c>
      <c r="J23">
        <f>+G23</f>
        <v>-4.5160000001487788E-2</v>
      </c>
      <c r="O23">
        <f ca="1">+C$11+C$12*$F23</f>
        <v>-4.4199124795479855E-2</v>
      </c>
      <c r="Q23" s="1">
        <f>+C23-15018.5</f>
        <v>40874.180399999997</v>
      </c>
      <c r="S23">
        <f ca="1">+(O23-G23)^2</f>
        <v>9.2328116152078738E-7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2024-07-29T08:56:35Z</dcterms:modified>
</cp:coreProperties>
</file>