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8CC4843-0E57-44FC-B916-1E83B02190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C21" i="1"/>
  <c r="E21" i="1"/>
  <c r="F21" i="1"/>
  <c r="G21" i="1"/>
  <c r="H21" i="1"/>
  <c r="A21" i="1"/>
  <c r="H20" i="1"/>
  <c r="C17" i="1"/>
  <c r="Q21" i="1"/>
  <c r="C11" i="1"/>
  <c r="F15" i="1" l="1"/>
  <c r="C12" i="1"/>
  <c r="C16" i="1" l="1"/>
  <c r="D18" i="1" s="1"/>
  <c r="O24" i="1"/>
  <c r="S24" i="1" s="1"/>
  <c r="C15" i="1"/>
  <c r="O22" i="1"/>
  <c r="S22" i="1" s="1"/>
  <c r="O21" i="1"/>
  <c r="S21" i="1" s="1"/>
  <c r="O23" i="1"/>
  <c r="S23" i="1" s="1"/>
  <c r="F16" i="1" l="1"/>
  <c r="F18" i="1" s="1"/>
  <c r="S19" i="1"/>
  <c r="C18" i="1"/>
  <c r="F17" i="1" l="1"/>
</calcChain>
</file>

<file path=xl/sharedStrings.xml><?xml version="1.0" encoding="utf-8"?>
<sst xmlns="http://schemas.openxmlformats.org/spreadsheetml/2006/main" count="61" uniqueCount="55">
  <si>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</si>
  <si>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</si>
  <si>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</si>
  <si>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</si>
  <si>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</si>
  <si>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</si>
  <si>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</si>
  <si>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</si>
  <si>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</si>
  <si>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</si>
  <si>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</si>
  <si>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</si>
  <si>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</si>
  <si>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</si>
  <si>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</si>
  <si>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</si>
  <si>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</si>
  <si>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</si>
  <si>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</si>
  <si>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</si>
  <si>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</si>
  <si>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</si>
  <si>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</si>
  <si>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</si>
  <si>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</si>
  <si>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</si>
  <si>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</si>
  <si>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</si>
  <si>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</si>
  <si>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</si>
  <si>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</si>
  <si>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</si>
  <si>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</si>
  <si>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</si>
  <si>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</si>
  <si>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</si>
  <si>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</si>
  <si>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</si>
  <si>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</si>
  <si>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G4698-0855</t>
  </si>
  <si>
    <t>G4698-0855_Cet.xls</t>
  </si>
  <si>
    <t>EC</t>
  </si>
  <si>
    <t>Cet</t>
  </si>
  <si>
    <t>VSX</t>
  </si>
  <si>
    <t>OEJV 0155</t>
  </si>
  <si>
    <t>I</t>
  </si>
  <si>
    <t>0,0080</t>
  </si>
  <si>
    <t>IBVS 6011</t>
  </si>
  <si>
    <t>IBVS 6042</t>
  </si>
  <si>
    <t>ASAS J023244-0215.7 Cet / GSC 4698-0855</t>
  </si>
  <si>
    <t>CCD</t>
  </si>
  <si>
    <t xml:space="preserve">Mag </t>
  </si>
  <si>
    <t>Next ToM-P</t>
  </si>
  <si>
    <t>Next ToM-S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</si>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</sst>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horizontal="right"/>
    </xf>
    <xf numFmtId="0" fontId="0" fillId="3" borderId="5" xfId="0" applyFill="1" applyBorder="1" applyAlignment="1">
      <alignment horizontal="right" vertical="center"/>
    </xf>
    <xf numFmtId="0" fontId="0" fillId="3" borderId="6" xfId="0" applyFill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4698-0855 -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5518</c:v>
                </c:pt>
                <c:pt idx="2">
                  <c:v>7592</c:v>
                </c:pt>
                <c:pt idx="3">
                  <c:v>8300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9B-47F9-AB85-6D3ED87AC9A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5518</c:v>
                </c:pt>
                <c:pt idx="2">
                  <c:v>7592</c:v>
                </c:pt>
                <c:pt idx="3">
                  <c:v>8300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9.5885999995516613E-2</c:v>
                </c:pt>
                <c:pt idx="2">
                  <c:v>0.10168399999383837</c:v>
                </c:pt>
                <c:pt idx="3">
                  <c:v>9.9499999996623956E-2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9B-47F9-AB85-6D3ED87AC9A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5518</c:v>
                </c:pt>
                <c:pt idx="2">
                  <c:v>7592</c:v>
                </c:pt>
                <c:pt idx="3">
                  <c:v>8300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9B-47F9-AB85-6D3ED87AC9A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5518</c:v>
                </c:pt>
                <c:pt idx="2">
                  <c:v>7592</c:v>
                </c:pt>
                <c:pt idx="3">
                  <c:v>8300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9B-47F9-AB85-6D3ED87AC9A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5518</c:v>
                </c:pt>
                <c:pt idx="2">
                  <c:v>7592</c:v>
                </c:pt>
                <c:pt idx="3">
                  <c:v>8300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9B-47F9-AB85-6D3ED87AC9A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5518</c:v>
                </c:pt>
                <c:pt idx="2">
                  <c:v>7592</c:v>
                </c:pt>
                <c:pt idx="3">
                  <c:v>8300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9B-47F9-AB85-6D3ED87AC9A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5518</c:v>
                </c:pt>
                <c:pt idx="2">
                  <c:v>7592</c:v>
                </c:pt>
                <c:pt idx="3">
                  <c:v>8300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9B-47F9-AB85-6D3ED87AC9A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5518</c:v>
                </c:pt>
                <c:pt idx="2">
                  <c:v>7592</c:v>
                </c:pt>
                <c:pt idx="3">
                  <c:v>8300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8.7339903380295736E-2</c:v>
                </c:pt>
                <c:pt idx="1">
                  <c:v>9.6373415728040535E-2</c:v>
                </c:pt>
                <c:pt idx="2">
                  <c:v>9.9768759078751434E-2</c:v>
                </c:pt>
                <c:pt idx="3">
                  <c:v>0.10092782517918697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9B-47F9-AB85-6D3ED87AC9A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5518</c:v>
                </c:pt>
                <c:pt idx="2">
                  <c:v>7592</c:v>
                </c:pt>
                <c:pt idx="3">
                  <c:v>8300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09B-47F9-AB85-6D3ED87AC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874352"/>
        <c:axId val="1"/>
      </c:scatterChart>
      <c:valAx>
        <c:axId val="572874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2874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238125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14B5D4A-79CE-B72F-A18D-9B8971B2F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28515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4" t="s">
        <v>49</v>
      </c>
      <c r="E1" t="s">
        <v>40</v>
      </c>
    </row>
    <row r="2" spans="1:7" x14ac:dyDescent="0.2">
      <c r="A2" t="s">
        <v>23</v>
      </c>
      <c r="B2" t="s">
        <v>41</v>
      </c>
      <c r="C2" s="27" t="s">
        <v>38</v>
      </c>
      <c r="D2" s="2" t="s">
        <v>42</v>
      </c>
      <c r="E2" s="28" t="s">
        <v>39</v>
      </c>
      <c r="F2" t="s">
        <v>39</v>
      </c>
    </row>
    <row r="3" spans="1:7" ht="13.5" thickBot="1" x14ac:dyDescent="0.25"/>
    <row r="4" spans="1:7" ht="14.25" thickTop="1" thickBot="1" x14ac:dyDescent="0.25">
      <c r="A4" s="4" t="s">
        <v>0</v>
      </c>
      <c r="C4" s="24" t="s">
        <v>37</v>
      </c>
      <c r="D4" s="25" t="s">
        <v>37</v>
      </c>
    </row>
    <row r="6" spans="1:7" x14ac:dyDescent="0.2">
      <c r="A6" s="4" t="s">
        <v>1</v>
      </c>
    </row>
    <row r="7" spans="1:7" x14ac:dyDescent="0.2">
      <c r="A7" t="s">
        <v>2</v>
      </c>
      <c r="C7" s="35">
        <v>51920.33</v>
      </c>
      <c r="D7" s="26" t="s">
        <v>43</v>
      </c>
    </row>
    <row r="8" spans="1:7" x14ac:dyDescent="0.2">
      <c r="A8" t="s">
        <v>3</v>
      </c>
      <c r="C8" s="35">
        <v>0.51692300000000002</v>
      </c>
      <c r="D8" s="26" t="s">
        <v>43</v>
      </c>
    </row>
    <row r="9" spans="1:7" x14ac:dyDescent="0.2">
      <c r="A9" s="8" t="s">
        <v>29</v>
      </c>
      <c r="B9" s="9"/>
      <c r="C9" s="10">
        <v>-9.5</v>
      </c>
      <c r="D9" s="9" t="s">
        <v>30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18">
        <f ca="1">INTERCEPT(INDIRECT($G$11):G992,INDIRECT($F$11):F992)</f>
        <v>8.7339903380295736E-2</v>
      </c>
      <c r="D11" s="2"/>
      <c r="E11" s="9"/>
      <c r="F11" s="19" t="str">
        <f>"F"&amp;E19</f>
        <v>F22</v>
      </c>
      <c r="G11" s="20" t="str">
        <f>"G"&amp;E19</f>
        <v>G22</v>
      </c>
    </row>
    <row r="12" spans="1:7" x14ac:dyDescent="0.2">
      <c r="A12" s="9" t="s">
        <v>16</v>
      </c>
      <c r="B12" s="9"/>
      <c r="C12" s="18">
        <f ca="1">SLOPE(INDIRECT($G$11):G992,INDIRECT($F$11):F992)</f>
        <v>1.6370990119146066E-6</v>
      </c>
      <c r="D12" s="2"/>
      <c r="E12" s="36" t="s">
        <v>51</v>
      </c>
      <c r="F12" s="37"/>
    </row>
    <row r="13" spans="1:7" x14ac:dyDescent="0.2">
      <c r="A13" s="9" t="s">
        <v>18</v>
      </c>
      <c r="B13" s="9"/>
      <c r="C13" s="2" t="s">
        <v>13</v>
      </c>
      <c r="D13" s="13"/>
      <c r="E13" s="38" t="s">
        <v>34</v>
      </c>
      <c r="F13" s="39">
        <v>1</v>
      </c>
    </row>
    <row r="14" spans="1:7" x14ac:dyDescent="0.2">
      <c r="A14" s="9"/>
      <c r="B14" s="9"/>
      <c r="C14" s="9"/>
      <c r="D14" s="13"/>
      <c r="E14" s="38" t="s">
        <v>31</v>
      </c>
      <c r="F14" s="40">
        <f ca="1">NOW()+15018.5+$C$9/24</f>
        <v>60520.872383912036</v>
      </c>
    </row>
    <row r="15" spans="1:7" x14ac:dyDescent="0.2">
      <c r="A15" s="11" t="s">
        <v>17</v>
      </c>
      <c r="B15" s="9"/>
      <c r="C15" s="12">
        <f ca="1">(C7+C11)+(C8+C12)*INT(MAX(F21:F3533))</f>
        <v>56210.89182782518</v>
      </c>
      <c r="D15" s="13"/>
      <c r="E15" s="38" t="s">
        <v>35</v>
      </c>
      <c r="F15" s="40">
        <f ca="1">ROUND(2*($F$14-$C$7)/$C$8,0)/2+$F$13</f>
        <v>16639</v>
      </c>
    </row>
    <row r="16" spans="1:7" x14ac:dyDescent="0.2">
      <c r="A16" s="14" t="s">
        <v>4</v>
      </c>
      <c r="B16" s="9"/>
      <c r="C16" s="15">
        <f ca="1">+C8+C12</f>
        <v>0.51692463709901193</v>
      </c>
      <c r="D16" s="13"/>
      <c r="E16" s="38" t="s">
        <v>36</v>
      </c>
      <c r="F16" s="40">
        <f ca="1">ROUND(2*($F$14-$C$15)/$C$16,0)/2+$F$13</f>
        <v>8338.5</v>
      </c>
    </row>
    <row r="17" spans="1:19" ht="13.5" thickBot="1" x14ac:dyDescent="0.25">
      <c r="A17" s="13" t="s">
        <v>28</v>
      </c>
      <c r="B17" s="9"/>
      <c r="C17" s="9">
        <f>COUNT(C21:C2191)</f>
        <v>4</v>
      </c>
      <c r="D17" s="13"/>
      <c r="E17" s="38" t="s">
        <v>52</v>
      </c>
      <c r="F17" s="40">
        <f ca="1">+$C$15+$C$16*$F$16-15018.5-$C$9/24</f>
        <v>45503.163747608625</v>
      </c>
    </row>
    <row r="18" spans="1:19" ht="14.25" thickTop="1" thickBot="1" x14ac:dyDescent="0.25">
      <c r="A18" s="14" t="s">
        <v>5</v>
      </c>
      <c r="B18" s="9"/>
      <c r="C18" s="16">
        <f ca="1">+C15</f>
        <v>56210.89182782518</v>
      </c>
      <c r="D18" s="17">
        <f ca="1">+C16</f>
        <v>0.51692463709901193</v>
      </c>
      <c r="E18" s="42" t="s">
        <v>53</v>
      </c>
      <c r="F18" s="41">
        <f ca="1">+($C$15+$C$16*$F$16)-($C$16/2)-15018.5-$C$9/24</f>
        <v>45502.905285290079</v>
      </c>
    </row>
    <row r="19" spans="1:19" ht="13.5" thickTop="1" x14ac:dyDescent="0.2">
      <c r="A19" s="21" t="s">
        <v>32</v>
      </c>
      <c r="E19" s="22">
        <v>22</v>
      </c>
      <c r="S19">
        <f ca="1">SQRT(SUM(S21:S50)/(COUNT(S21:S50)-1))</f>
        <v>5.0445360305616777E-2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54</v>
      </c>
      <c r="J20" s="6" t="s">
        <v>50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3" t="s">
        <v>33</v>
      </c>
    </row>
    <row r="21" spans="1:19" x14ac:dyDescent="0.2">
      <c r="A21" t="str">
        <f>D7</f>
        <v>VSX</v>
      </c>
      <c r="C21" s="7">
        <f>C$7</f>
        <v>51920.33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8.7339903380295736E-2</v>
      </c>
      <c r="Q21" s="1">
        <f>+C21-15018.5</f>
        <v>36901.83</v>
      </c>
      <c r="S21">
        <f ca="1">+(O21-G21)^2</f>
        <v>7.6282587224793946E-3</v>
      </c>
    </row>
    <row r="22" spans="1:19" x14ac:dyDescent="0.2">
      <c r="A22" s="29" t="s">
        <v>44</v>
      </c>
      <c r="B22" s="30" t="s">
        <v>45</v>
      </c>
      <c r="C22" s="31">
        <v>54772.807000000001</v>
      </c>
      <c r="D22" s="29" t="s">
        <v>46</v>
      </c>
      <c r="E22">
        <f>+(C22-C$7)/C$8</f>
        <v>5518.1854937776006</v>
      </c>
      <c r="F22">
        <f>ROUND(2*E22,0)/2</f>
        <v>5518</v>
      </c>
      <c r="G22">
        <f>+C22-(C$7+F22*C$8)</f>
        <v>9.5885999995516613E-2</v>
      </c>
      <c r="I22">
        <f>+G22</f>
        <v>9.5885999995516613E-2</v>
      </c>
      <c r="O22">
        <f ca="1">+C$11+C$12*$F22</f>
        <v>9.6373415728040535E-2</v>
      </c>
      <c r="Q22" s="1">
        <f>+C22-15018.5</f>
        <v>39754.307000000001</v>
      </c>
      <c r="S22">
        <f ca="1">+(O22-G22)^2</f>
        <v>2.3757409631183093E-7</v>
      </c>
    </row>
    <row r="23" spans="1:19" x14ac:dyDescent="0.2">
      <c r="A23" s="32" t="s">
        <v>47</v>
      </c>
      <c r="B23" s="33" t="s">
        <v>45</v>
      </c>
      <c r="C23" s="32">
        <v>55844.911099999998</v>
      </c>
      <c r="D23" s="32">
        <v>5.0000000000000001E-4</v>
      </c>
      <c r="E23">
        <f>+(C23-C$7)/C$8</f>
        <v>7592.1967101483115</v>
      </c>
      <c r="F23">
        <f>ROUND(2*E23,0)/2</f>
        <v>7592</v>
      </c>
      <c r="G23">
        <f>+C23-(C$7+F23*C$8)</f>
        <v>0.10168399999383837</v>
      </c>
      <c r="I23">
        <f>+G23</f>
        <v>0.10168399999383837</v>
      </c>
      <c r="O23">
        <f ca="1">+C$11+C$12*$F23</f>
        <v>9.9768759078751434E-2</v>
      </c>
      <c r="Q23" s="1">
        <f>+C23-15018.5</f>
        <v>40826.411099999998</v>
      </c>
      <c r="S23">
        <f ca="1">+(O23-G23)^2</f>
        <v>3.6681477628230415E-6</v>
      </c>
    </row>
    <row r="24" spans="1:19" x14ac:dyDescent="0.2">
      <c r="A24" s="29" t="s">
        <v>48</v>
      </c>
      <c r="B24" s="30" t="s">
        <v>45</v>
      </c>
      <c r="C24" s="31">
        <v>56210.890399999997</v>
      </c>
      <c r="D24" s="31">
        <v>3.0000000000000003E-4</v>
      </c>
      <c r="E24">
        <f>+(C24-C$7)/C$8</f>
        <v>8300.1924851476815</v>
      </c>
      <c r="F24">
        <f>ROUND(2*E24,0)/2</f>
        <v>8300</v>
      </c>
      <c r="G24">
        <f>+C24-(C$7+F24*C$8)</f>
        <v>9.9499999996623956E-2</v>
      </c>
      <c r="I24">
        <f>+G24</f>
        <v>9.9499999996623956E-2</v>
      </c>
      <c r="O24">
        <f ca="1">+C$11+C$12*$F24</f>
        <v>0.10092782517918697</v>
      </c>
      <c r="Q24" s="1">
        <f>+C24-15018.5</f>
        <v>41192.390399999997</v>
      </c>
      <c r="S24">
        <f ca="1">+(O24-G24)^2</f>
        <v>2.0386847519611041E-6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2024-07-29T08:56:29Z</dcterms:modified>
</cp:coreProperties>
</file>