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180A56C-1666-4F22-A60F-FA165CD8A4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C21" i="1"/>
  <c r="A21" i="1"/>
  <c r="F14" i="1"/>
  <c r="E26" i="1"/>
  <c r="F26" i="1" s="1"/>
  <c r="G26" i="1" s="1"/>
  <c r="K26" i="1" s="1"/>
  <c r="Q26" i="1"/>
  <c r="E24" i="1"/>
  <c r="F24" i="1" s="1"/>
  <c r="G24" i="1" s="1"/>
  <c r="K24" i="1" s="1"/>
  <c r="Q24" i="1"/>
  <c r="Q25" i="1"/>
  <c r="E23" i="1"/>
  <c r="F23" i="1" s="1"/>
  <c r="G23" i="1" s="1"/>
  <c r="K23" i="1" s="1"/>
  <c r="Q23" i="1"/>
  <c r="C17" i="1"/>
  <c r="Q22" i="1"/>
  <c r="E22" i="1"/>
  <c r="F22" i="1" s="1"/>
  <c r="G22" i="1" s="1"/>
  <c r="I22" i="1" s="1"/>
  <c r="E25" i="1"/>
  <c r="F25" i="1" s="1"/>
  <c r="G25" i="1" s="1"/>
  <c r="K25" i="1" s="1"/>
  <c r="C12" i="1"/>
  <c r="C11" i="1"/>
  <c r="O21" i="1" l="1"/>
  <c r="F15" i="1"/>
  <c r="O26" i="1"/>
  <c r="C16" i="1"/>
  <c r="D18" i="1" s="1"/>
  <c r="O25" i="1"/>
  <c r="O22" i="1"/>
  <c r="O24" i="1"/>
  <c r="C15" i="1"/>
  <c r="F16" i="1" s="1"/>
  <c r="O23" i="1"/>
  <c r="F18" i="1" l="1"/>
  <c r="F17" i="1"/>
  <c r="C18" i="1"/>
</calcChain>
</file>

<file path=xl/sharedStrings.xml><?xml version="1.0" encoding="utf-8"?>
<sst xmlns="http://schemas.openxmlformats.org/spreadsheetml/2006/main" count="72" uniqueCount="60">
  <si>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</si>
  <si>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</si>
  <si>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</si>
  <si>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</si>
  <si>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</si>
  <si>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</si>
  <si>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</si>
  <si>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</si>
  <si>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</si>
  <si>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</si>
  <si>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</si>
  <si>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</si>
  <si>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</si>
  <si>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</si>
  <si>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</si>
  <si>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</si>
  <si>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</si>
  <si>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</si>
  <si>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</si>
  <si>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</si>
  <si>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</si>
  <si>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</si>
  <si>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</si>
  <si>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</si>
  <si>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</si>
  <si>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</si>
  <si>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</si>
  <si>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</si>
  <si>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</si>
  <si>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</si>
  <si>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</si>
  <si>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</si>
  <si>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</si>
  <si>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</si>
  <si>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</si>
  <si>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</si>
  <si>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</si>
  <si>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</si>
  <si>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vis</t>
  </si>
  <si>
    <t>PE</t>
  </si>
  <si>
    <t>CCD</t>
  </si>
  <si>
    <t>CK Cet</t>
  </si>
  <si>
    <t>G5846-0320</t>
  </si>
  <si>
    <t>EB</t>
  </si>
  <si>
    <t>pr_0</t>
  </si>
  <si>
    <t>A8/A9V</t>
  </si>
  <si>
    <t>CK Cet / GSC 5846-0320</t>
  </si>
  <si>
    <t>Kreimer</t>
  </si>
  <si>
    <t>VSB_061</t>
  </si>
  <si>
    <t>VSB 069</t>
  </si>
  <si>
    <t>V</t>
  </si>
  <si>
    <t>Ic</t>
  </si>
  <si>
    <t>VSB, 91</t>
  </si>
  <si>
    <t>F21</t>
  </si>
  <si>
    <t>G21</t>
  </si>
  <si>
    <t xml:space="preserve">Mag </t>
  </si>
  <si>
    <t>Next ToM-P</t>
  </si>
  <si>
    <t>Next ToM-S</t>
  </si>
  <si>
    <t>10.41-10.74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</si>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</sst>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6" fillId="0" borderId="0" xfId="41" applyAlignment="1">
      <alignment horizontal="left"/>
    </xf>
    <xf numFmtId="0" fontId="34" fillId="0" borderId="0" xfId="41" applyFont="1"/>
    <xf numFmtId="0" fontId="34" fillId="0" borderId="0" xfId="41" applyFont="1" applyAlignment="1">
      <alignment horizontal="center"/>
    </xf>
    <xf numFmtId="0" fontId="34" fillId="0" borderId="0" xfId="41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5" fontId="3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26" borderId="11" xfId="0" applyFill="1" applyBorder="1" applyAlignment="1">
      <alignment horizontal="right" vertical="center"/>
    </xf>
    <xf numFmtId="0" fontId="36" fillId="0" borderId="13" xfId="0" applyFont="1" applyBorder="1" applyAlignment="1">
      <alignment horizontal="right" vertical="center"/>
    </xf>
    <xf numFmtId="0" fontId="38" fillId="0" borderId="14" xfId="0" applyFont="1" applyBorder="1" applyAlignment="1"/>
    <xf numFmtId="0" fontId="37" fillId="0" borderId="14" xfId="0" applyFont="1" applyBorder="1" applyAlignment="1">
      <alignment horizontal="right" vertical="center"/>
    </xf>
    <xf numFmtId="0" fontId="37" fillId="0" borderId="15" xfId="0" applyFont="1" applyBorder="1" applyAlignment="1">
      <alignment horizontal="right" vertical="center"/>
    </xf>
    <xf numFmtId="0" fontId="36" fillId="0" borderId="16" xfId="0" applyFont="1" applyBorder="1" applyAlignment="1">
      <alignment horizontal="right" vertical="center"/>
    </xf>
    <xf numFmtId="0" fontId="6" fillId="26" borderId="12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CK Cet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5213</c:v>
                </c:pt>
                <c:pt idx="2">
                  <c:v>11429</c:v>
                </c:pt>
                <c:pt idx="3">
                  <c:v>13797</c:v>
                </c:pt>
                <c:pt idx="4">
                  <c:v>13797</c:v>
                </c:pt>
                <c:pt idx="5">
                  <c:v>14274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78-4FDF-9BC3-BCD4EDF989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5213</c:v>
                </c:pt>
                <c:pt idx="2">
                  <c:v>11429</c:v>
                </c:pt>
                <c:pt idx="3">
                  <c:v>13797</c:v>
                </c:pt>
                <c:pt idx="4">
                  <c:v>13797</c:v>
                </c:pt>
                <c:pt idx="5">
                  <c:v>14274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1">
                  <c:v>-6.479899999249028E-2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78-4FDF-9BC3-BCD4EDF989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5213</c:v>
                </c:pt>
                <c:pt idx="2">
                  <c:v>11429</c:v>
                </c:pt>
                <c:pt idx="3">
                  <c:v>13797</c:v>
                </c:pt>
                <c:pt idx="4">
                  <c:v>13797</c:v>
                </c:pt>
                <c:pt idx="5">
                  <c:v>14274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78-4FDF-9BC3-BCD4EDF989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5213</c:v>
                </c:pt>
                <c:pt idx="2">
                  <c:v>11429</c:v>
                </c:pt>
                <c:pt idx="3">
                  <c:v>13797</c:v>
                </c:pt>
                <c:pt idx="4">
                  <c:v>13797</c:v>
                </c:pt>
                <c:pt idx="5">
                  <c:v>14274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2">
                  <c:v>-0.13746700021874858</c:v>
                </c:pt>
                <c:pt idx="3">
                  <c:v>-0.17823099999804981</c:v>
                </c:pt>
                <c:pt idx="4">
                  <c:v>-0.17463099999440601</c:v>
                </c:pt>
                <c:pt idx="5">
                  <c:v>-0.18400199976895237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78-4FDF-9BC3-BCD4EDF989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5213</c:v>
                </c:pt>
                <c:pt idx="2">
                  <c:v>11429</c:v>
                </c:pt>
                <c:pt idx="3">
                  <c:v>13797</c:v>
                </c:pt>
                <c:pt idx="4">
                  <c:v>13797</c:v>
                </c:pt>
                <c:pt idx="5">
                  <c:v>14274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78-4FDF-9BC3-BCD4EDF989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5213</c:v>
                </c:pt>
                <c:pt idx="2">
                  <c:v>11429</c:v>
                </c:pt>
                <c:pt idx="3">
                  <c:v>13797</c:v>
                </c:pt>
                <c:pt idx="4">
                  <c:v>13797</c:v>
                </c:pt>
                <c:pt idx="5">
                  <c:v>14274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78-4FDF-9BC3-BCD4EDF989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5213</c:v>
                </c:pt>
                <c:pt idx="2">
                  <c:v>11429</c:v>
                </c:pt>
                <c:pt idx="3">
                  <c:v>13797</c:v>
                </c:pt>
                <c:pt idx="4">
                  <c:v>13797</c:v>
                </c:pt>
                <c:pt idx="5">
                  <c:v>14274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78-4FDF-9BC3-BCD4EDF989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5213</c:v>
                </c:pt>
                <c:pt idx="2">
                  <c:v>11429</c:v>
                </c:pt>
                <c:pt idx="3">
                  <c:v>13797</c:v>
                </c:pt>
                <c:pt idx="4">
                  <c:v>13797</c:v>
                </c:pt>
                <c:pt idx="5">
                  <c:v>14274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1.5433691810530781E-3</c:v>
                </c:pt>
                <c:pt idx="1">
                  <c:v>-6.5135116395812195E-2</c:v>
                </c:pt>
                <c:pt idx="2">
                  <c:v>-0.14464278306486927</c:v>
                </c:pt>
                <c:pt idx="3">
                  <c:v>-0.17493141798641482</c:v>
                </c:pt>
                <c:pt idx="4">
                  <c:v>-0.17493141798641482</c:v>
                </c:pt>
                <c:pt idx="5">
                  <c:v>-0.18103263372018899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78-4FDF-9BC3-BCD4EDF9892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5213</c:v>
                </c:pt>
                <c:pt idx="2">
                  <c:v>11429</c:v>
                </c:pt>
                <c:pt idx="3">
                  <c:v>13797</c:v>
                </c:pt>
                <c:pt idx="4">
                  <c:v>13797</c:v>
                </c:pt>
                <c:pt idx="5">
                  <c:v>14274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78-4FDF-9BC3-BCD4EDF98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410896"/>
        <c:axId val="1"/>
      </c:scatterChart>
      <c:valAx>
        <c:axId val="839410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410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7B60A23-ED69-DA90-3C02-5C0C233C1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5" t="s">
        <v>41</v>
      </c>
      <c r="G1" s="30">
        <v>0</v>
      </c>
      <c r="H1" s="31"/>
      <c r="I1" s="36" t="s">
        <v>42</v>
      </c>
      <c r="J1" s="35" t="s">
        <v>41</v>
      </c>
      <c r="K1" s="37">
        <v>0.22570000000000001</v>
      </c>
      <c r="L1" s="33">
        <v>-20.392399999999999</v>
      </c>
      <c r="M1" s="34">
        <v>52500.512000000002</v>
      </c>
      <c r="N1" s="34">
        <v>0.76731099999999997</v>
      </c>
      <c r="O1" s="32" t="s">
        <v>43</v>
      </c>
      <c r="P1" s="33">
        <v>10.41</v>
      </c>
      <c r="Q1" s="33">
        <v>10.74</v>
      </c>
      <c r="R1" s="38" t="s">
        <v>44</v>
      </c>
      <c r="S1" s="39" t="s">
        <v>45</v>
      </c>
    </row>
    <row r="2" spans="1:19" x14ac:dyDescent="0.2">
      <c r="A2" t="s">
        <v>24</v>
      </c>
      <c r="B2" t="s">
        <v>43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1</v>
      </c>
      <c r="C4" s="26" t="s">
        <v>37</v>
      </c>
      <c r="D4" s="27" t="s">
        <v>37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2</v>
      </c>
      <c r="E6" s="59" t="s">
        <v>47</v>
      </c>
    </row>
    <row r="7" spans="1:19" x14ac:dyDescent="0.2">
      <c r="A7" t="s">
        <v>3</v>
      </c>
      <c r="C7" s="51">
        <v>48500.521999999997</v>
      </c>
      <c r="D7" s="28" t="s">
        <v>59</v>
      </c>
      <c r="E7" s="60">
        <v>52500.512000000002</v>
      </c>
    </row>
    <row r="8" spans="1:19" x14ac:dyDescent="0.2">
      <c r="A8" t="s">
        <v>4</v>
      </c>
      <c r="C8" s="51">
        <v>0.76732299999999998</v>
      </c>
      <c r="D8" s="28" t="s">
        <v>59</v>
      </c>
      <c r="E8" s="61">
        <v>0.76731099999999997</v>
      </c>
    </row>
    <row r="9" spans="1:19" x14ac:dyDescent="0.2">
      <c r="A9" s="23" t="s">
        <v>32</v>
      </c>
      <c r="C9" s="24">
        <v>21</v>
      </c>
      <c r="D9" s="21" t="s">
        <v>53</v>
      </c>
      <c r="E9" s="22" t="s">
        <v>54</v>
      </c>
    </row>
    <row r="10" spans="1:19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9" x14ac:dyDescent="0.2">
      <c r="A11" s="10" t="s">
        <v>16</v>
      </c>
      <c r="B11" s="10"/>
      <c r="C11" s="20">
        <f ca="1">INTERCEPT(INDIRECT($E$9):G990,INDIRECT($D$9):F990)</f>
        <v>1.5433691810530781E-3</v>
      </c>
      <c r="D11" s="3"/>
      <c r="E11" s="10"/>
    </row>
    <row r="12" spans="1:19" x14ac:dyDescent="0.2">
      <c r="A12" s="10" t="s">
        <v>17</v>
      </c>
      <c r="B12" s="10"/>
      <c r="C12" s="20">
        <f ca="1">SLOPE(INDIRECT($E$9):G990,INDIRECT($D$9):F990)</f>
        <v>-1.2790808666193224E-5</v>
      </c>
      <c r="D12" s="3"/>
      <c r="E12" s="52" t="s">
        <v>55</v>
      </c>
      <c r="F12" s="58" t="s">
        <v>58</v>
      </c>
    </row>
    <row r="13" spans="1:19" x14ac:dyDescent="0.2">
      <c r="A13" s="10" t="s">
        <v>19</v>
      </c>
      <c r="B13" s="10"/>
      <c r="C13" s="3" t="s">
        <v>14</v>
      </c>
      <c r="E13" s="53" t="s">
        <v>34</v>
      </c>
      <c r="F13" s="54">
        <v>1</v>
      </c>
    </row>
    <row r="14" spans="1:19" x14ac:dyDescent="0.2">
      <c r="A14" s="10"/>
      <c r="B14" s="10"/>
      <c r="C14" s="10"/>
      <c r="E14" s="53" t="s">
        <v>31</v>
      </c>
      <c r="F14" s="55">
        <f ca="1">NOW()+15018.5+$C$5/24</f>
        <v>60520.872323032403</v>
      </c>
    </row>
    <row r="15" spans="1:19" x14ac:dyDescent="0.2">
      <c r="A15" s="12" t="s">
        <v>18</v>
      </c>
      <c r="B15" s="10"/>
      <c r="C15" s="13">
        <f ca="1">(C7+C11)+(C8+C12)*INT(MAX(F21:F3531))</f>
        <v>59453.109469366274</v>
      </c>
      <c r="E15" s="53" t="s">
        <v>35</v>
      </c>
      <c r="F15" s="55">
        <f ca="1">ROUND(2*($F$14-$C$7)/$C$8,0)/2+$F$13</f>
        <v>15666.5</v>
      </c>
    </row>
    <row r="16" spans="1:19" x14ac:dyDescent="0.2">
      <c r="A16" s="15" t="s">
        <v>5</v>
      </c>
      <c r="B16" s="10"/>
      <c r="C16" s="16">
        <f ca="1">+C8+C12</f>
        <v>0.76731020919133375</v>
      </c>
      <c r="E16" s="53" t="s">
        <v>36</v>
      </c>
      <c r="F16" s="55">
        <f ca="1">ROUND(2*($F$14-$C$15)/$C$16,0)/2+$F$13</f>
        <v>1392.5</v>
      </c>
    </row>
    <row r="17" spans="1:21" ht="13.5" thickBot="1" x14ac:dyDescent="0.25">
      <c r="A17" s="14" t="s">
        <v>28</v>
      </c>
      <c r="B17" s="10"/>
      <c r="C17" s="10">
        <f>COUNT(C21:C2189)</f>
        <v>6</v>
      </c>
      <c r="E17" s="53" t="s">
        <v>56</v>
      </c>
      <c r="F17" s="55">
        <f ca="1">+$C$15+$C$16*$F$16-15018.5-$C$5/24</f>
        <v>45503.48476899854</v>
      </c>
    </row>
    <row r="18" spans="1:21" ht="14.25" thickTop="1" thickBot="1" x14ac:dyDescent="0.25">
      <c r="A18" s="15" t="s">
        <v>6</v>
      </c>
      <c r="B18" s="10"/>
      <c r="C18" s="18">
        <f ca="1">+C15</f>
        <v>59453.109469366274</v>
      </c>
      <c r="D18" s="19">
        <f ca="1">+C16</f>
        <v>0.76731020919133375</v>
      </c>
      <c r="E18" s="57" t="s">
        <v>57</v>
      </c>
      <c r="F18" s="56">
        <f ca="1">+($C$15+$C$16*$F$16)-($C$16/2)-15018.5-$C$5/24</f>
        <v>45503.101113893943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59</v>
      </c>
      <c r="I20" s="7" t="s">
        <v>38</v>
      </c>
      <c r="J20" s="7" t="s">
        <v>39</v>
      </c>
      <c r="K20" s="7" t="s">
        <v>40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5" t="s">
        <v>33</v>
      </c>
    </row>
    <row r="21" spans="1:21" x14ac:dyDescent="0.2">
      <c r="A21" t="str">
        <f>$D$7</f>
        <v>VSX</v>
      </c>
      <c r="C21" s="8">
        <f>$C$7</f>
        <v>48500.521999999997</v>
      </c>
      <c r="D21" s="8"/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1.5433691810530781E-3</v>
      </c>
      <c r="Q21" s="2">
        <f t="shared" ref="Q21:Q26" si="4">+C21-15018.5</f>
        <v>33482.021999999997</v>
      </c>
    </row>
    <row r="22" spans="1:21" x14ac:dyDescent="0.2">
      <c r="A22" t="s">
        <v>47</v>
      </c>
      <c r="C22" s="8">
        <v>52500.512000000002</v>
      </c>
      <c r="D22" s="8" t="s">
        <v>14</v>
      </c>
      <c r="E22">
        <f t="shared" si="0"/>
        <v>5212.9155518601756</v>
      </c>
      <c r="F22">
        <f t="shared" si="1"/>
        <v>5213</v>
      </c>
      <c r="G22">
        <f t="shared" si="2"/>
        <v>-6.479899999249028E-2</v>
      </c>
      <c r="I22">
        <f>+G22</f>
        <v>-6.479899999249028E-2</v>
      </c>
      <c r="O22">
        <f t="shared" ca="1" si="3"/>
        <v>-6.5135116395812195E-2</v>
      </c>
      <c r="Q22" s="2">
        <f t="shared" si="4"/>
        <v>37482.012000000002</v>
      </c>
    </row>
    <row r="23" spans="1:21" x14ac:dyDescent="0.2">
      <c r="A23" s="40" t="s">
        <v>48</v>
      </c>
      <c r="B23" s="41" t="s">
        <v>0</v>
      </c>
      <c r="C23" s="42">
        <v>57270.119099999778</v>
      </c>
      <c r="D23" s="43"/>
      <c r="E23">
        <f t="shared" si="0"/>
        <v>11428.820848586294</v>
      </c>
      <c r="F23">
        <f t="shared" si="1"/>
        <v>11429</v>
      </c>
      <c r="G23">
        <f t="shared" si="2"/>
        <v>-0.13746700021874858</v>
      </c>
      <c r="K23">
        <f>+G23</f>
        <v>-0.13746700021874858</v>
      </c>
      <c r="O23">
        <f t="shared" ca="1" si="3"/>
        <v>-0.14464278306486927</v>
      </c>
      <c r="Q23" s="2">
        <f t="shared" si="4"/>
        <v>42251.619099999778</v>
      </c>
    </row>
    <row r="24" spans="1:21" x14ac:dyDescent="0.2">
      <c r="A24" s="44" t="s">
        <v>49</v>
      </c>
      <c r="B24" s="45" t="s">
        <v>0</v>
      </c>
      <c r="C24" s="46">
        <v>59087.099199999997</v>
      </c>
      <c r="D24" s="46" t="s">
        <v>50</v>
      </c>
      <c r="E24">
        <f t="shared" si="0"/>
        <v>13796.767723631378</v>
      </c>
      <c r="F24">
        <f t="shared" si="1"/>
        <v>13797</v>
      </c>
      <c r="G24">
        <f t="shared" si="2"/>
        <v>-0.17823099999804981</v>
      </c>
      <c r="K24">
        <f>+G24</f>
        <v>-0.17823099999804981</v>
      </c>
      <c r="O24">
        <f t="shared" ca="1" si="3"/>
        <v>-0.17493141798641482</v>
      </c>
      <c r="Q24" s="2">
        <f t="shared" si="4"/>
        <v>44068.599199999997</v>
      </c>
    </row>
    <row r="25" spans="1:21" x14ac:dyDescent="0.2">
      <c r="A25" s="44" t="s">
        <v>49</v>
      </c>
      <c r="B25" s="45" t="s">
        <v>0</v>
      </c>
      <c r="C25" s="46">
        <v>59087.102800000001</v>
      </c>
      <c r="D25" s="46" t="s">
        <v>51</v>
      </c>
      <c r="E25">
        <f t="shared" si="0"/>
        <v>13796.772415267109</v>
      </c>
      <c r="F25">
        <f t="shared" si="1"/>
        <v>13797</v>
      </c>
      <c r="G25">
        <f t="shared" si="2"/>
        <v>-0.17463099999440601</v>
      </c>
      <c r="K25">
        <f>+G25</f>
        <v>-0.17463099999440601</v>
      </c>
      <c r="O25">
        <f t="shared" ca="1" si="3"/>
        <v>-0.17493141798641482</v>
      </c>
      <c r="Q25" s="2">
        <f t="shared" si="4"/>
        <v>44068.602800000001</v>
      </c>
    </row>
    <row r="26" spans="1:21" x14ac:dyDescent="0.2">
      <c r="A26" s="47" t="s">
        <v>52</v>
      </c>
      <c r="B26" s="48" t="s">
        <v>0</v>
      </c>
      <c r="C26" s="49">
        <v>59453.106500000227</v>
      </c>
      <c r="D26" s="50" t="s">
        <v>51</v>
      </c>
      <c r="E26">
        <f t="shared" si="0"/>
        <v>14273.760202678963</v>
      </c>
      <c r="F26">
        <f t="shared" si="1"/>
        <v>14274</v>
      </c>
      <c r="G26">
        <f t="shared" si="2"/>
        <v>-0.18400199976895237</v>
      </c>
      <c r="K26">
        <f>+G26</f>
        <v>-0.18400199976895237</v>
      </c>
      <c r="O26">
        <f t="shared" ca="1" si="3"/>
        <v>-0.18103263372018899</v>
      </c>
      <c r="Q26" s="2">
        <f t="shared" si="4"/>
        <v>44434.606500000227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protectedRanges>
    <protectedRange sqref="A23:D24" name="Range1"/>
  </protectedRanges>
  <sortState xmlns:xlrd2="http://schemas.microsoft.com/office/spreadsheetml/2017/richdata2" ref="A21:R26">
    <sortCondition ref="C21:C26"/>
  </sortState>
  <phoneticPr fontId="8" type="noConversion"/>
  <hyperlinks>
    <hyperlink ref="H1769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2024-07-29T08:56:37Z</dcterms:modified>
</cp:coreProperties>
</file>