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449C354-AC6C-435E-B6F3-0E577882A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21" i="1"/>
  <c r="A21" i="1"/>
  <c r="F14" i="1"/>
  <c r="F15" i="1" l="1"/>
  <c r="Q23" i="1" l="1"/>
  <c r="E23" i="1"/>
  <c r="F23" i="1" s="1"/>
  <c r="G23" i="1" s="1"/>
  <c r="K23" i="1" s="1"/>
  <c r="D9" i="1"/>
  <c r="E9" i="1"/>
  <c r="C17" i="1"/>
  <c r="Q22" i="1"/>
  <c r="E22" i="1"/>
  <c r="F22" i="1" s="1"/>
  <c r="G22" i="1" s="1"/>
  <c r="I22" i="1" s="1"/>
  <c r="C12" i="1"/>
  <c r="C11" i="1"/>
  <c r="O21" i="1" l="1"/>
  <c r="C15" i="1"/>
  <c r="O23" i="1"/>
  <c r="O22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<sst xmlns="http://schemas.openxmlformats.org/spreadsheetml/2006/main" count="61" uniqueCount="54">
  <si>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</si>
  <si>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</si>
  <si>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</si>
  <si>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</si>
  <si>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</si>
  <si>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</si>
  <si>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</si>
  <si>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</si>
  <si>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</si>
  <si>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</si>
  <si>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</si>
  <si>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</si>
  <si>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</si>
  <si>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</si>
  <si>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</si>
  <si>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</si>
  <si>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</si>
  <si>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</si>
  <si>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</si>
  <si>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</si>
  <si>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</si>
  <si>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</si>
  <si>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</si>
  <si>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</si>
  <si>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</si>
  <si>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</si>
  <si>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</si>
  <si>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</si>
  <si>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</si>
  <si>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</si>
  <si>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</si>
  <si>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</si>
  <si>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</si>
  <si>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</si>
  <si>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</si>
  <si>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</si>
  <si>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</si>
  <si>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</si>
  <si>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</si>
  <si>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</si>
  <si>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</si>
  <si>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</si>
  <si>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CL Cet</t>
  </si>
  <si>
    <t>G5840-0121</t>
  </si>
  <si>
    <t>EW</t>
  </si>
  <si>
    <t>pr_0</t>
  </si>
  <si>
    <t>F2V</t>
  </si>
  <si>
    <t>CL Cet / GSC 5840-0121</t>
  </si>
  <si>
    <t>Kreiner</t>
  </si>
  <si>
    <t xml:space="preserve">Mag </t>
  </si>
  <si>
    <t>Next ToM-P</t>
  </si>
  <si>
    <t>Next ToM-S</t>
  </si>
  <si>
    <t>9.88-10.00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</si>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</sst>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0" fillId="0" borderId="0" xfId="0" applyAlignment="1">
      <alignment horizontal="right"/>
    </xf>
    <xf numFmtId="0" fontId="0" fillId="26" borderId="11" xfId="0" applyFill="1" applyBorder="1" applyAlignment="1">
      <alignment horizontal="right" vertical="center"/>
    </xf>
    <xf numFmtId="0" fontId="6" fillId="26" borderId="12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22" fontId="36" fillId="0" borderId="14" xfId="0" applyNumberFormat="1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Cet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2-40BA-BAC8-8F4BB41737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3.9579000003868714E-2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B2-40BA-BAC8-8F4BB41737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B2-40BA-BAC8-8F4BB41737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7.8833000006852672E-2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B2-40BA-BAC8-8F4BB41737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B2-40BA-BAC8-8F4BB41737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B2-40BA-BAC8-8F4BB41737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B2-40BA-BAC8-8F4BB41737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1.3341401441524722E-3</c:v>
                </c:pt>
                <c:pt idx="1">
                  <c:v>3.7129551979042073E-2</c:v>
                </c:pt>
                <c:pt idx="2">
                  <c:v>7.9948307887526854E-2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B2-40BA-BAC8-8F4BB41737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B2-40BA-BAC8-8F4BB4173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995320"/>
        <c:axId val="1"/>
      </c:scatterChart>
      <c:valAx>
        <c:axId val="789995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995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026963-1BB8-4550-F647-F67FC2380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S9" sqref="S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5" t="s">
        <v>42</v>
      </c>
      <c r="G1" s="30">
        <v>0</v>
      </c>
      <c r="H1" s="31"/>
      <c r="I1" s="36" t="s">
        <v>43</v>
      </c>
      <c r="J1" s="35" t="s">
        <v>42</v>
      </c>
      <c r="K1" s="37">
        <v>0.29041</v>
      </c>
      <c r="L1" s="33">
        <v>-17.130099999999999</v>
      </c>
      <c r="M1" s="34">
        <v>52500.053</v>
      </c>
      <c r="N1" s="34">
        <v>0.62162260000000003</v>
      </c>
      <c r="O1" s="32" t="s">
        <v>44</v>
      </c>
      <c r="P1" s="33">
        <v>9.8800000000000008</v>
      </c>
      <c r="Q1" s="33">
        <v>10</v>
      </c>
      <c r="R1" s="38" t="s">
        <v>45</v>
      </c>
      <c r="S1" s="39" t="s">
        <v>46</v>
      </c>
    </row>
    <row r="2" spans="1:19" x14ac:dyDescent="0.2">
      <c r="A2" t="s">
        <v>25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 t="s">
        <v>38</v>
      </c>
      <c r="D4" s="27" t="s">
        <v>38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  <c r="E6" s="54" t="s">
        <v>48</v>
      </c>
    </row>
    <row r="7" spans="1:19" x14ac:dyDescent="0.2">
      <c r="A7" t="s">
        <v>4</v>
      </c>
      <c r="C7" s="44">
        <v>48500.212399999997</v>
      </c>
      <c r="D7" s="53" t="s">
        <v>53</v>
      </c>
      <c r="E7" s="55">
        <v>52500.053</v>
      </c>
    </row>
    <row r="8" spans="1:19" x14ac:dyDescent="0.2">
      <c r="A8" t="s">
        <v>5</v>
      </c>
      <c r="C8" s="44">
        <v>0.621618</v>
      </c>
      <c r="D8" s="28" t="s">
        <v>53</v>
      </c>
      <c r="E8" s="56">
        <v>0.62162260000000003</v>
      </c>
    </row>
    <row r="9" spans="1:19" x14ac:dyDescent="0.2">
      <c r="A9" s="23" t="s">
        <v>33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0">
        <f ca="1">INTERCEPT(INDIRECT($E$9):G992,INDIRECT($D$9):F992)</f>
        <v>1.3341401441524722E-3</v>
      </c>
      <c r="D11" s="3"/>
      <c r="E11" s="10"/>
    </row>
    <row r="12" spans="1:19" x14ac:dyDescent="0.2">
      <c r="A12" s="10" t="s">
        <v>18</v>
      </c>
      <c r="B12" s="10"/>
      <c r="C12" s="20">
        <f ca="1">SLOPE(INDIRECT($E$9):G992,INDIRECT($D$9):F992)</f>
        <v>5.5630448107684516E-6</v>
      </c>
      <c r="D12" s="3"/>
      <c r="E12" s="45" t="s">
        <v>49</v>
      </c>
      <c r="F12" s="46" t="s">
        <v>52</v>
      </c>
    </row>
    <row r="13" spans="1:19" x14ac:dyDescent="0.2">
      <c r="A13" s="10" t="s">
        <v>20</v>
      </c>
      <c r="B13" s="10"/>
      <c r="C13" s="3" t="s">
        <v>15</v>
      </c>
      <c r="E13" s="47" t="s">
        <v>35</v>
      </c>
      <c r="F13" s="48">
        <v>1</v>
      </c>
    </row>
    <row r="14" spans="1:19" x14ac:dyDescent="0.2">
      <c r="A14" s="10"/>
      <c r="B14" s="10"/>
      <c r="C14" s="10"/>
      <c r="E14" s="47" t="s">
        <v>32</v>
      </c>
      <c r="F14" s="49">
        <f ca="1">NOW()+15018.5+$C$5/24</f>
        <v>60507.66147175926</v>
      </c>
    </row>
    <row r="15" spans="1:19" x14ac:dyDescent="0.2">
      <c r="A15" s="12" t="s">
        <v>19</v>
      </c>
      <c r="B15" s="10"/>
      <c r="C15" s="13">
        <f ca="1">(C7+C11)+(C8+C12)*INT(MAX(F21:F3533))</f>
        <v>57284.376303526362</v>
      </c>
      <c r="E15" s="47" t="s">
        <v>36</v>
      </c>
      <c r="F15" s="49">
        <f ca="1">ROUND(2*($F$14-$C$7)/$C$8,0)/2+$F$13</f>
        <v>19317.5</v>
      </c>
    </row>
    <row r="16" spans="1:19" x14ac:dyDescent="0.2">
      <c r="A16" s="15" t="s">
        <v>6</v>
      </c>
      <c r="B16" s="10"/>
      <c r="C16" s="16">
        <f ca="1">+C8+C12</f>
        <v>0.62162356304481081</v>
      </c>
      <c r="E16" s="47" t="s">
        <v>37</v>
      </c>
      <c r="F16" s="49">
        <f ca="1">ROUND(2*($F$14-$C$15)/$C$16,0)/2+$F$13</f>
        <v>5186.5</v>
      </c>
    </row>
    <row r="17" spans="1:21" ht="13.5" thickBot="1" x14ac:dyDescent="0.25">
      <c r="A17" s="14" t="s">
        <v>29</v>
      </c>
      <c r="B17" s="10"/>
      <c r="C17" s="10">
        <f>COUNT(C21:C2191)</f>
        <v>3</v>
      </c>
      <c r="E17" s="47" t="s">
        <v>50</v>
      </c>
      <c r="F17" s="50">
        <f ca="1">+$C$15+$C$16*$F$16-15018.5-$C$5/24</f>
        <v>45490.322746591606</v>
      </c>
    </row>
    <row r="18" spans="1:21" ht="14.25" thickTop="1" thickBot="1" x14ac:dyDescent="0.25">
      <c r="A18" s="15" t="s">
        <v>7</v>
      </c>
      <c r="B18" s="10"/>
      <c r="C18" s="18">
        <f ca="1">+C15</f>
        <v>57284.376303526362</v>
      </c>
      <c r="D18" s="19">
        <f ca="1">+C16</f>
        <v>0.62162356304481081</v>
      </c>
      <c r="E18" s="52" t="s">
        <v>51</v>
      </c>
      <c r="F18" s="51">
        <f ca="1">+($C$15+$C$16*$F$16)-($C$16/2)-15018.5-$C$5/24</f>
        <v>45490.011934810085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53</v>
      </c>
      <c r="I20" s="7" t="s">
        <v>39</v>
      </c>
      <c r="J20" s="7" t="s">
        <v>40</v>
      </c>
      <c r="K20" s="7" t="s">
        <v>41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34</v>
      </c>
    </row>
    <row r="21" spans="1:21" x14ac:dyDescent="0.2">
      <c r="A21" t="str">
        <f>$D$7</f>
        <v>VSX</v>
      </c>
      <c r="C21" s="8">
        <f>$C$7</f>
        <v>48500.212399999997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1.3341401441524722E-3</v>
      </c>
      <c r="Q21" s="2">
        <f>+C21-15018.5</f>
        <v>33481.712399999997</v>
      </c>
    </row>
    <row r="22" spans="1:21" x14ac:dyDescent="0.2">
      <c r="A22" t="s">
        <v>48</v>
      </c>
      <c r="C22" s="8">
        <v>52500.053</v>
      </c>
      <c r="D22" s="8" t="s">
        <v>15</v>
      </c>
      <c r="E22">
        <f>+(C22-C$7)/C$8</f>
        <v>6434.5636709361752</v>
      </c>
      <c r="F22">
        <f>ROUND(2*E22,0)/2</f>
        <v>6434.5</v>
      </c>
      <c r="G22">
        <f>+C22-(C$7+F22*C$8)</f>
        <v>3.9579000003868714E-2</v>
      </c>
      <c r="I22">
        <f>+G22</f>
        <v>3.9579000003868714E-2</v>
      </c>
      <c r="O22">
        <f ca="1">+C$11+C$12*$F22</f>
        <v>3.7129551979042073E-2</v>
      </c>
      <c r="Q22" s="2">
        <f>+C22-15018.5</f>
        <v>37481.553</v>
      </c>
    </row>
    <row r="23" spans="1:21" x14ac:dyDescent="0.2">
      <c r="A23" s="40" t="s">
        <v>0</v>
      </c>
      <c r="B23" s="41" t="s">
        <v>1</v>
      </c>
      <c r="C23" s="42">
        <v>57284.686000000002</v>
      </c>
      <c r="D23" s="43">
        <v>0.02</v>
      </c>
      <c r="E23">
        <f>+(C23-C$7)/C$8</f>
        <v>14131.626819043215</v>
      </c>
      <c r="F23">
        <f>ROUND(2*E23,0)/2</f>
        <v>14131.5</v>
      </c>
      <c r="G23">
        <f>+C23-(C$7+F23*C$8)</f>
        <v>7.8833000006852672E-2</v>
      </c>
      <c r="K23">
        <f>+G23</f>
        <v>7.8833000006852672E-2</v>
      </c>
      <c r="O23">
        <f ca="1">+C$11+C$12*$F23</f>
        <v>7.9948307887526854E-2</v>
      </c>
      <c r="Q23" s="2">
        <f>+C23-15018.5</f>
        <v>42266.186000000002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4">
    <sortCondition ref="C21:C24"/>
  </sortState>
  <phoneticPr fontId="8" type="noConversion"/>
  <hyperlinks>
    <hyperlink ref="H176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2024-07-16T03:52:31Z</dcterms:modified>
</cp:coreProperties>
</file>