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16DC8B-CF6D-4AAB-9E83-8E97D8F4E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4" i="1" l="1"/>
  <c r="E34" i="1"/>
  <c r="F34" i="1" s="1"/>
  <c r="G34" i="1" s="1"/>
  <c r="K34" i="1" s="1"/>
  <c r="Q34" i="1"/>
  <c r="C34" i="1"/>
  <c r="A34" i="1"/>
  <c r="F14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60" i="1"/>
  <c r="F60" i="1" s="1"/>
  <c r="G60" i="1" s="1"/>
  <c r="K60" i="1" s="1"/>
  <c r="E61" i="1"/>
  <c r="F61" i="1"/>
  <c r="G61" i="1" s="1"/>
  <c r="K61" i="1" s="1"/>
  <c r="E62" i="1"/>
  <c r="F62" i="1" s="1"/>
  <c r="G62" i="1" s="1"/>
  <c r="K62" i="1" s="1"/>
  <c r="E63" i="1"/>
  <c r="F63" i="1"/>
  <c r="G63" i="1" s="1"/>
  <c r="K63" i="1" s="1"/>
  <c r="E64" i="1"/>
  <c r="F64" i="1" s="1"/>
  <c r="G64" i="1" s="1"/>
  <c r="K64" i="1" s="1"/>
  <c r="E65" i="1"/>
  <c r="F65" i="1"/>
  <c r="G65" i="1" s="1"/>
  <c r="K65" i="1" s="1"/>
  <c r="E70" i="1"/>
  <c r="F70" i="1" s="1"/>
  <c r="G70" i="1" s="1"/>
  <c r="K70" i="1" s="1"/>
  <c r="E71" i="1"/>
  <c r="F71" i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/>
  <c r="G75" i="1" s="1"/>
  <c r="K75" i="1" s="1"/>
  <c r="Q66" i="1"/>
  <c r="Q67" i="1"/>
  <c r="Q68" i="1"/>
  <c r="Q69" i="1"/>
  <c r="Q60" i="1"/>
  <c r="Q61" i="1"/>
  <c r="Q62" i="1"/>
  <c r="Q63" i="1"/>
  <c r="Q64" i="1"/>
  <c r="Q65" i="1"/>
  <c r="Q70" i="1"/>
  <c r="Q71" i="1"/>
  <c r="Q72" i="1"/>
  <c r="Q73" i="1"/>
  <c r="Q74" i="1"/>
  <c r="Q75" i="1"/>
  <c r="E52" i="1"/>
  <c r="F52" i="1" s="1"/>
  <c r="G52" i="1" s="1"/>
  <c r="K52" i="1" s="1"/>
  <c r="E53" i="1"/>
  <c r="F53" i="1" s="1"/>
  <c r="G53" i="1" s="1"/>
  <c r="K53" i="1" s="1"/>
  <c r="E57" i="1"/>
  <c r="F57" i="1" s="1"/>
  <c r="G57" i="1" s="1"/>
  <c r="K57" i="1" s="1"/>
  <c r="E58" i="1"/>
  <c r="F58" i="1" s="1"/>
  <c r="G58" i="1" s="1"/>
  <c r="K58" i="1" s="1"/>
  <c r="E22" i="1"/>
  <c r="F22" i="1" s="1"/>
  <c r="G22" i="1" s="1"/>
  <c r="I22" i="1" s="1"/>
  <c r="E23" i="1"/>
  <c r="F23" i="1"/>
  <c r="G23" i="1" s="1"/>
  <c r="I23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E11" i="2" s="1"/>
  <c r="F30" i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I33" i="1" s="1"/>
  <c r="E35" i="1"/>
  <c r="F35" i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I40" i="1" s="1"/>
  <c r="E41" i="1"/>
  <c r="F41" i="1"/>
  <c r="G41" i="1" s="1"/>
  <c r="I41" i="1" s="1"/>
  <c r="E42" i="1"/>
  <c r="F42" i="1" s="1"/>
  <c r="G42" i="1" s="1"/>
  <c r="I42" i="1" s="1"/>
  <c r="E43" i="1"/>
  <c r="F43" i="1"/>
  <c r="G43" i="1" s="1"/>
  <c r="K43" i="1" s="1"/>
  <c r="E44" i="1"/>
  <c r="F44" i="1" s="1"/>
  <c r="G44" i="1" s="1"/>
  <c r="K44" i="1" s="1"/>
  <c r="E45" i="1"/>
  <c r="F45" i="1"/>
  <c r="G45" i="1" s="1"/>
  <c r="K45" i="1" s="1"/>
  <c r="E46" i="1"/>
  <c r="F46" i="1" s="1"/>
  <c r="G46" i="1" s="1"/>
  <c r="I46" i="1" s="1"/>
  <c r="E47" i="1"/>
  <c r="E35" i="2" s="1"/>
  <c r="F47" i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/>
  <c r="G51" i="1" s="1"/>
  <c r="I51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9" i="1"/>
  <c r="F59" i="1" s="1"/>
  <c r="G59" i="1" s="1"/>
  <c r="K59" i="1" s="1"/>
  <c r="E24" i="1"/>
  <c r="F24" i="1" s="1"/>
  <c r="D9" i="1"/>
  <c r="C9" i="1"/>
  <c r="Q52" i="1"/>
  <c r="Q53" i="1"/>
  <c r="Q57" i="1"/>
  <c r="Q58" i="1"/>
  <c r="Q59" i="1"/>
  <c r="Q55" i="1"/>
  <c r="Q56" i="1"/>
  <c r="Q54" i="1"/>
  <c r="E21" i="1"/>
  <c r="E17" i="2" s="1"/>
  <c r="Q21" i="1"/>
  <c r="Q22" i="1"/>
  <c r="Q23" i="1"/>
  <c r="Q25" i="1"/>
  <c r="Q26" i="1"/>
  <c r="Q27" i="1"/>
  <c r="Q28" i="1"/>
  <c r="Q29" i="1"/>
  <c r="Q33" i="1"/>
  <c r="Q35" i="1"/>
  <c r="Q36" i="1"/>
  <c r="Q37" i="1"/>
  <c r="Q40" i="1"/>
  <c r="Q41" i="1"/>
  <c r="Q42" i="1"/>
  <c r="Q44" i="1"/>
  <c r="Q46" i="1"/>
  <c r="Q47" i="1"/>
  <c r="Q48" i="1"/>
  <c r="Q49" i="1"/>
  <c r="Q50" i="1"/>
  <c r="Q51" i="1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16" i="2"/>
  <c r="C16" i="2"/>
  <c r="E16" i="2"/>
  <c r="G33" i="2"/>
  <c r="C33" i="2"/>
  <c r="E33" i="2"/>
  <c r="G15" i="2"/>
  <c r="C15" i="2"/>
  <c r="E15" i="2"/>
  <c r="G32" i="2"/>
  <c r="C32" i="2"/>
  <c r="G31" i="2"/>
  <c r="C31" i="2"/>
  <c r="E31" i="2"/>
  <c r="G30" i="2"/>
  <c r="C30" i="2"/>
  <c r="E30" i="2"/>
  <c r="G14" i="2"/>
  <c r="C14" i="2"/>
  <c r="E14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E25" i="2"/>
  <c r="G13" i="2"/>
  <c r="C13" i="2"/>
  <c r="E13" i="2"/>
  <c r="G12" i="2"/>
  <c r="C12" i="2"/>
  <c r="E12" i="2"/>
  <c r="G11" i="2"/>
  <c r="C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16" i="2"/>
  <c r="B16" i="2"/>
  <c r="D16" i="2"/>
  <c r="A16" i="2"/>
  <c r="H33" i="2"/>
  <c r="D33" i="2"/>
  <c r="B33" i="2"/>
  <c r="A33" i="2"/>
  <c r="H15" i="2"/>
  <c r="B15" i="2"/>
  <c r="D15" i="2"/>
  <c r="A15" i="2"/>
  <c r="H32" i="2"/>
  <c r="D32" i="2"/>
  <c r="B32" i="2"/>
  <c r="A32" i="2"/>
  <c r="H31" i="2"/>
  <c r="B31" i="2"/>
  <c r="D31" i="2"/>
  <c r="A31" i="2"/>
  <c r="H30" i="2"/>
  <c r="D30" i="2"/>
  <c r="B30" i="2"/>
  <c r="A30" i="2"/>
  <c r="H14" i="2"/>
  <c r="B14" i="2"/>
  <c r="D14" i="2"/>
  <c r="A14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3" i="2"/>
  <c r="B13" i="2"/>
  <c r="D13" i="2"/>
  <c r="A13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Q45" i="1"/>
  <c r="C17" i="1"/>
  <c r="Q43" i="1"/>
  <c r="Q39" i="1"/>
  <c r="Q30" i="1"/>
  <c r="Q38" i="1"/>
  <c r="Q31" i="1"/>
  <c r="Q32" i="1"/>
  <c r="Q24" i="1"/>
  <c r="C12" i="1"/>
  <c r="C11" i="1"/>
  <c r="F21" i="1" l="1"/>
  <c r="G21" i="1" s="1"/>
  <c r="I21" i="1" s="1"/>
  <c r="E27" i="2"/>
  <c r="E20" i="2"/>
  <c r="E32" i="2"/>
  <c r="O34" i="1"/>
  <c r="F15" i="1"/>
  <c r="C16" i="1"/>
  <c r="D18" i="1" s="1"/>
  <c r="O52" i="1"/>
  <c r="O24" i="1"/>
  <c r="O62" i="1"/>
  <c r="O44" i="1"/>
  <c r="O22" i="1"/>
  <c r="O29" i="1"/>
  <c r="O48" i="1"/>
  <c r="O37" i="1"/>
  <c r="O74" i="1"/>
  <c r="O67" i="1"/>
  <c r="C15" i="1"/>
  <c r="O45" i="1"/>
  <c r="O35" i="1"/>
  <c r="O27" i="1"/>
  <c r="O55" i="1"/>
  <c r="O59" i="1"/>
  <c r="O69" i="1"/>
  <c r="O56" i="1"/>
  <c r="O71" i="1"/>
  <c r="O63" i="1"/>
  <c r="O26" i="1"/>
  <c r="O40" i="1"/>
  <c r="O61" i="1"/>
  <c r="O43" i="1"/>
  <c r="O53" i="1"/>
  <c r="O31" i="1"/>
  <c r="O42" i="1"/>
  <c r="O28" i="1"/>
  <c r="O30" i="1"/>
  <c r="O47" i="1"/>
  <c r="O65" i="1"/>
  <c r="O70" i="1"/>
  <c r="O78" i="1"/>
  <c r="O38" i="1"/>
  <c r="O23" i="1"/>
  <c r="O66" i="1"/>
  <c r="O41" i="1"/>
  <c r="O51" i="1"/>
  <c r="O32" i="1"/>
  <c r="O50" i="1"/>
  <c r="O77" i="1"/>
  <c r="O54" i="1"/>
  <c r="O49" i="1"/>
  <c r="O25" i="1"/>
  <c r="O36" i="1"/>
  <c r="O76" i="1"/>
  <c r="O75" i="1"/>
  <c r="O60" i="1"/>
  <c r="O68" i="1"/>
  <c r="O64" i="1"/>
  <c r="O39" i="1"/>
  <c r="O73" i="1"/>
  <c r="O46" i="1"/>
  <c r="O58" i="1"/>
  <c r="O33" i="1"/>
  <c r="O72" i="1"/>
  <c r="O57" i="1"/>
  <c r="O21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<sst xmlns="http://schemas.openxmlformats.org/spreadsheetml/2006/main" count="490" uniqueCount="219">
  <si>
    <t>VSB-063</t>
  </si>
  <si>
    <t>VSB-059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</si>
  <si>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</si>
  <si>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</si>
  <si>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</si>
  <si>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</si>
  <si>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</si>
  <si>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</si>
  <si>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</si>
  <si>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</si>
  <si>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</si>
  <si>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</si>
  <si>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</si>
  <si>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</si>
  <si>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</si>
  <si>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</si>
  <si>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</si>
  <si>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</si>
  <si>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</si>
  <si>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</si>
  <si>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</si>
  <si>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</si>
  <si>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</si>
  <si>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</si>
  <si>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</si>
  <si>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</si>
  <si>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</si>
  <si>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</si>
  <si>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</si>
  <si>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</si>
  <si>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</si>
  <si>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</si>
  <si>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ASAS</t>
  </si>
  <si>
    <t>IBVS 5690</t>
  </si>
  <si>
    <t>I</t>
  </si>
  <si>
    <t>IBVS 5677</t>
  </si>
  <si>
    <t>DY Cet / GSC 05291-00361</t>
  </si>
  <si>
    <t>EW</t>
  </si>
  <si>
    <t>My time zone &gt;&gt;&gt;&gt;&gt;</t>
  </si>
  <si>
    <t>(PST=8, PDT=MDT=7, MDT=CST=6, etc.)</t>
  </si>
  <si>
    <t>JD today</t>
  </si>
  <si>
    <t>New Cycle</t>
  </si>
  <si>
    <t>IBVS 5806</t>
  </si>
  <si>
    <t>II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</si>
  <si>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</si>
  <si>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</si>
  <si>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</si>
  <si>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</si>
  <si>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</si>
  <si>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</si>
  <si>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</si>
  <si>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</si>
  <si>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</si>
  <si>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</si>
  <si>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</si>
  <si>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</si>
  <si>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</si>
  <si>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</si>
  <si>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</si>
  <si>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</si>
  <si>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</si>
  <si>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2451472.08 </t>
  </si>
  <si>
    <t> 20.10.1999 13:55 </t>
  </si>
  <si>
    <t> -0.01 </t>
  </si>
  <si>
    <t>C </t>
  </si>
  <si>
    <t>Ic</t>
  </si>
  <si>
    <t> S.Kiyota </t>
  </si>
  <si>
    <t>VSB 47 </t>
  </si>
  <si>
    <t>2451541.946 </t>
  </si>
  <si>
    <t> 29.12.1999 10:42 </t>
  </si>
  <si>
    <t> -0.004 </t>
  </si>
  <si>
    <t> K.Nagai </t>
  </si>
  <si>
    <t>2451810.615 </t>
  </si>
  <si>
    <t> 23.09.2000 02:45 </t>
  </si>
  <si>
    <t> 0.004 </t>
  </si>
  <si>
    <t>E </t>
  </si>
  <si>
    <t>?</t>
  </si>
  <si>
    <t> A.Paschke </t>
  </si>
  <si>
    <t> BBS 125 </t>
  </si>
  <si>
    <t>2452194.085 </t>
  </si>
  <si>
    <t> 11.10.2001 14:02 </t>
  </si>
  <si>
    <t> -0.013 </t>
  </si>
  <si>
    <t>VSB 39 </t>
  </si>
  <si>
    <t>2452576.0400 </t>
  </si>
  <si>
    <t> 28.10.2002 12:57 </t>
  </si>
  <si>
    <t> -0.0017 </t>
  </si>
  <si>
    <t>VSB 40 </t>
  </si>
  <si>
    <t>2453286.1540 </t>
  </si>
  <si>
    <t> 07.10.2004 15:41 </t>
  </si>
  <si>
    <t> 0.0010 </t>
  </si>
  <si>
    <t>VSB 43 </t>
  </si>
  <si>
    <t>2453322.077 </t>
  </si>
  <si>
    <t> 12.11.2004 13:50 </t>
  </si>
  <si>
    <t> -0.000 </t>
  </si>
  <si>
    <t>V </t>
  </si>
  <si>
    <t> K.Kanai </t>
  </si>
  <si>
    <t>2453326.047 </t>
  </si>
  <si>
    <t> 16.11.2004 13:07 </t>
  </si>
  <si>
    <t> 0.003 </t>
  </si>
  <si>
    <t>2453337.7258 </t>
  </si>
  <si>
    <t> 28.11.2004 05:25 </t>
  </si>
  <si>
    <t> 0.0005 </t>
  </si>
  <si>
    <t>-I</t>
  </si>
  <si>
    <t> W.Ogloza et al. </t>
  </si>
  <si>
    <t>IBVS 5843 </t>
  </si>
  <si>
    <t>2453370.5634 </t>
  </si>
  <si>
    <t> 31.12.2004 01:31 </t>
  </si>
  <si>
    <t>1975</t>
  </si>
  <si>
    <t> -0.0007 </t>
  </si>
  <si>
    <t> T.Krajci </t>
  </si>
  <si>
    <t>IBVS 5690 </t>
  </si>
  <si>
    <t>2453402.5207 </t>
  </si>
  <si>
    <t> 01.02.2005 00:29 </t>
  </si>
  <si>
    <t>2047.5</t>
  </si>
  <si>
    <t> -0.0006 </t>
  </si>
  <si>
    <t> S.Dvorak </t>
  </si>
  <si>
    <t>IBVS 5677 </t>
  </si>
  <si>
    <t>2453604.1828 </t>
  </si>
  <si>
    <t> 21.08.2005 16:23 </t>
  </si>
  <si>
    <t>2505</t>
  </si>
  <si>
    <t>VSB 44 </t>
  </si>
  <si>
    <t>2453676.0307 </t>
  </si>
  <si>
    <t> 01.11.2005 12:44 </t>
  </si>
  <si>
    <t>2668</t>
  </si>
  <si>
    <t> -0.0002 </t>
  </si>
  <si>
    <t>2453683.083 </t>
  </si>
  <si>
    <t> 08.11.2005 13:59 </t>
  </si>
  <si>
    <t>2684</t>
  </si>
  <si>
    <t> -0.001 </t>
  </si>
  <si>
    <t>2453683.0833 </t>
  </si>
  <si>
    <t>2453994.9419 </t>
  </si>
  <si>
    <t> 16.09.2006 10:36 </t>
  </si>
  <si>
    <t>3391.5</t>
  </si>
  <si>
    <t> 0.0001 </t>
  </si>
  <si>
    <t>o</t>
  </si>
  <si>
    <t>IBVS 5806 </t>
  </si>
  <si>
    <t>2454040.7832 </t>
  </si>
  <si>
    <t> 01.11.2006 06:47 </t>
  </si>
  <si>
    <t>3495.5</t>
  </si>
  <si>
    <t>2454048.0599 </t>
  </si>
  <si>
    <t> 08.11.2006 13:26 </t>
  </si>
  <si>
    <t>3512</t>
  </si>
  <si>
    <t> 0.0030 </t>
  </si>
  <si>
    <t> K.Nagai et al. </t>
  </si>
  <si>
    <t>VSB 45 </t>
  </si>
  <si>
    <t>2454130.9256 </t>
  </si>
  <si>
    <t> 30.01.2007 10:12 </t>
  </si>
  <si>
    <t>3700</t>
  </si>
  <si>
    <t> 0.0003 </t>
  </si>
  <si>
    <t> K.Nakajima </t>
  </si>
  <si>
    <t>VSB 46 </t>
  </si>
  <si>
    <t>2454802.0279 </t>
  </si>
  <si>
    <t> 01.12.2008 12:40 </t>
  </si>
  <si>
    <t>5222.5</t>
  </si>
  <si>
    <t> 0.0012 </t>
  </si>
  <si>
    <t>VSB 48 </t>
  </si>
  <si>
    <t>2455543.6546 </t>
  </si>
  <si>
    <t> 13.12.2010 03:42 </t>
  </si>
  <si>
    <t>6905</t>
  </si>
  <si>
    <t> R.Diethelm </t>
  </si>
  <si>
    <t>IBVS 5960 </t>
  </si>
  <si>
    <t>2455554.8941 </t>
  </si>
  <si>
    <t> 24.12.2010 09:27 </t>
  </si>
  <si>
    <t>6930.5</t>
  </si>
  <si>
    <t> -0.0004 </t>
  </si>
  <si>
    <t>VSB 51 </t>
  </si>
  <si>
    <t>2455850.8857 </t>
  </si>
  <si>
    <t> 16.10.2011 09:15 </t>
  </si>
  <si>
    <t>7602</t>
  </si>
  <si>
    <t> 0.0014 </t>
  </si>
  <si>
    <t>IBVS 6011 </t>
  </si>
  <si>
    <t>2455881.958 </t>
  </si>
  <si>
    <t> 16.11.2011 10:59 </t>
  </si>
  <si>
    <t>7672.5</t>
  </si>
  <si>
    <t> -0.002 </t>
  </si>
  <si>
    <t>VSB 53 </t>
  </si>
  <si>
    <t>2456287.9284 </t>
  </si>
  <si>
    <t> 26.12.2012 10:16 </t>
  </si>
  <si>
    <t>8593.5</t>
  </si>
  <si>
    <t> 0.0017 </t>
  </si>
  <si>
    <t>VSB 55 </t>
  </si>
  <si>
    <t>2456596.0396 </t>
  </si>
  <si>
    <t> 30.10.2013 12:57 </t>
  </si>
  <si>
    <t>9292.5</t>
  </si>
  <si>
    <t> 0.0013 </t>
  </si>
  <si>
    <t>VSB 56 </t>
  </si>
  <si>
    <t>2456601.9909 </t>
  </si>
  <si>
    <t> 05.11.2013 11:46 </t>
  </si>
  <si>
    <t>9306</t>
  </si>
  <si>
    <t> 0.0019 </t>
  </si>
  <si>
    <t>2456603.9772 </t>
  </si>
  <si>
    <t> 07.11.2013 11:27 </t>
  </si>
  <si>
    <t>9310.5</t>
  </si>
  <si>
    <t> 0.0047 </t>
  </si>
  <si>
    <t>2456614.9942 </t>
  </si>
  <si>
    <t> 18.11.2013 11:51 </t>
  </si>
  <si>
    <t>9335.5</t>
  </si>
  <si>
    <t> 0.0020 </t>
  </si>
  <si>
    <t>2456955.0647 </t>
  </si>
  <si>
    <t> 24.10.2014 13:33 </t>
  </si>
  <si>
    <t>10107</t>
  </si>
  <si>
    <t> 0.0037 </t>
  </si>
  <si>
    <t>VSB 59 </t>
  </si>
  <si>
    <t>2456976.0016 </t>
  </si>
  <si>
    <t> 14.11.2014 12:02 </t>
  </si>
  <si>
    <t>10154.5</t>
  </si>
  <si>
    <t> 0.0031 </t>
  </si>
  <si>
    <t>VSB_061</t>
  </si>
  <si>
    <t>VSB-64</t>
  </si>
  <si>
    <t>VSB 067</t>
  </si>
  <si>
    <t>B</t>
  </si>
  <si>
    <t>U</t>
  </si>
  <si>
    <t>VSB 069</t>
  </si>
  <si>
    <t>VSB, 91</t>
  </si>
  <si>
    <t xml:space="preserve">Mag </t>
  </si>
  <si>
    <t>Next ToM-P</t>
  </si>
  <si>
    <t>Next ToM-S</t>
  </si>
  <si>
    <t>VSX</t>
  </si>
  <si>
    <t>9.54-10.12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</si>
</sst>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7" fillId="0" borderId="0" xfId="42" applyFont="1" applyAlignment="1">
      <alignment horizontal="left"/>
    </xf>
    <xf numFmtId="0" fontId="38" fillId="0" borderId="0" xfId="0" applyFont="1" applyAlignment="1">
      <alignment horizontal="left" vertical="top"/>
    </xf>
    <xf numFmtId="0" fontId="39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165" fontId="5" fillId="0" borderId="0" xfId="0" applyNumberFormat="1" applyFont="1" applyAlignment="1">
      <alignment horizontal="left" vertical="top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25" borderId="18" xfId="0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3" fillId="0" borderId="20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Cet - O-C Diagr.</a:t>
            </a:r>
          </a:p>
        </c:rich>
      </c:tx>
      <c:layout>
        <c:manualLayout>
          <c:xMode val="edge"/>
          <c:yMode val="edge"/>
          <c:x val="0.39078783057021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5-44E1-9A8B-C6175BBE0B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-3.789999995206017E-3</c:v>
                </c:pt>
                <c:pt idx="1">
                  <c:v>-3.0049999913899228E-3</c:v>
                </c:pt>
                <c:pt idx="2">
                  <c:v>4.4899999993504025E-3</c:v>
                </c:pt>
                <c:pt idx="3">
                  <c:v>-4.7899999990477227E-3</c:v>
                </c:pt>
                <c:pt idx="4">
                  <c:v>-1.2810000000172295E-2</c:v>
                </c:pt>
                <c:pt idx="5">
                  <c:v>-2.34499999351101E-3</c:v>
                </c:pt>
                <c:pt idx="6">
                  <c:v>-1.0349999938625842E-3</c:v>
                </c:pt>
                <c:pt idx="7">
                  <c:v>-2.4199999970733188E-3</c:v>
                </c:pt>
                <c:pt idx="8">
                  <c:v>4.6999999904073775E-4</c:v>
                </c:pt>
                <c:pt idx="12">
                  <c:v>-2.2199999948497862E-3</c:v>
                </c:pt>
                <c:pt idx="14">
                  <c:v>-3.0899999983375892E-3</c:v>
                </c:pt>
                <c:pt idx="15">
                  <c:v>-3.4299999970244244E-3</c:v>
                </c:pt>
                <c:pt idx="16">
                  <c:v>-3.1299999973271042E-3</c:v>
                </c:pt>
                <c:pt idx="19">
                  <c:v>-6.4999999449355528E-4</c:v>
                </c:pt>
                <c:pt idx="20">
                  <c:v>-3.4699999960139394E-3</c:v>
                </c:pt>
                <c:pt idx="21">
                  <c:v>-3.9449999967473559E-3</c:v>
                </c:pt>
                <c:pt idx="25">
                  <c:v>-9.3449999985750765E-3</c:v>
                </c:pt>
                <c:pt idx="26">
                  <c:v>-6.5350000004400499E-3</c:v>
                </c:pt>
                <c:pt idx="27">
                  <c:v>-7.5450000003911555E-3</c:v>
                </c:pt>
                <c:pt idx="28">
                  <c:v>-6.9100000036996789E-3</c:v>
                </c:pt>
                <c:pt idx="29">
                  <c:v>-4.1649999984656461E-3</c:v>
                </c:pt>
                <c:pt idx="30">
                  <c:v>-6.9149999981164001E-3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5-44E1-9A8B-C6175BBE0B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55-44E1-9A8B-C6175BBE0B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-1.6649999961373396E-3</c:v>
                </c:pt>
                <c:pt idx="10">
                  <c:v>-2.9199999989941716E-3</c:v>
                </c:pt>
                <c:pt idx="11">
                  <c:v>-2.8949999978067353E-3</c:v>
                </c:pt>
                <c:pt idx="13">
                  <c:v>0</c:v>
                </c:pt>
                <c:pt idx="17">
                  <c:v>-3.4550000200397335E-3</c:v>
                </c:pt>
                <c:pt idx="18">
                  <c:v>-4.3149999983143061E-3</c:v>
                </c:pt>
                <c:pt idx="22">
                  <c:v>-6.4199999978882261E-3</c:v>
                </c:pt>
                <c:pt idx="23">
                  <c:v>-7.0649999979650602E-3</c:v>
                </c:pt>
                <c:pt idx="24">
                  <c:v>-5.9499999988474883E-3</c:v>
                </c:pt>
                <c:pt idx="31">
                  <c:v>-5.900000011024531E-3</c:v>
                </c:pt>
                <c:pt idx="32">
                  <c:v>-6.5249999242951162E-3</c:v>
                </c:pt>
                <c:pt idx="33">
                  <c:v>-3.8700000004610047E-3</c:v>
                </c:pt>
                <c:pt idx="34">
                  <c:v>-3.8699999859090894E-3</c:v>
                </c:pt>
                <c:pt idx="35">
                  <c:v>-3.8699999859090894E-3</c:v>
                </c:pt>
                <c:pt idx="36">
                  <c:v>-6.3349999982165173E-3</c:v>
                </c:pt>
                <c:pt idx="37">
                  <c:v>-6.7499999931897037E-3</c:v>
                </c:pt>
                <c:pt idx="38">
                  <c:v>-6.7299999936949462E-3</c:v>
                </c:pt>
                <c:pt idx="39">
                  <c:v>-8.820000002742745E-3</c:v>
                </c:pt>
                <c:pt idx="40">
                  <c:v>-6.8200000023352914E-3</c:v>
                </c:pt>
                <c:pt idx="41">
                  <c:v>-1.1469999997643754E-2</c:v>
                </c:pt>
                <c:pt idx="42">
                  <c:v>-1.0769999993499368E-2</c:v>
                </c:pt>
                <c:pt idx="43">
                  <c:v>-9.6699999921838753E-3</c:v>
                </c:pt>
                <c:pt idx="44">
                  <c:v>-8.6699999956181273E-3</c:v>
                </c:pt>
                <c:pt idx="45">
                  <c:v>-1.0535000001254957E-2</c:v>
                </c:pt>
                <c:pt idx="46">
                  <c:v>-9.6349999948870391E-3</c:v>
                </c:pt>
                <c:pt idx="47">
                  <c:v>-8.4349999960977584E-3</c:v>
                </c:pt>
                <c:pt idx="48">
                  <c:v>-7.6349999944795854E-3</c:v>
                </c:pt>
                <c:pt idx="49">
                  <c:v>-1.4445000000705477E-2</c:v>
                </c:pt>
                <c:pt idx="50">
                  <c:v>-1.2445000000298023E-2</c:v>
                </c:pt>
                <c:pt idx="51">
                  <c:v>-1.2345000002824236E-2</c:v>
                </c:pt>
                <c:pt idx="52">
                  <c:v>-1.134499999898253E-2</c:v>
                </c:pt>
                <c:pt idx="53">
                  <c:v>-1.2954999998328276E-2</c:v>
                </c:pt>
                <c:pt idx="54">
                  <c:v>-1.2555000001157168E-2</c:v>
                </c:pt>
                <c:pt idx="55">
                  <c:v>-1.8379999819444492E-2</c:v>
                </c:pt>
                <c:pt idx="56">
                  <c:v>-1.752000002306886E-2</c:v>
                </c:pt>
                <c:pt idx="57">
                  <c:v>-1.7220000067027286E-2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55-44E1-9A8B-C6175BBE0B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55-44E1-9A8B-C6175BBE0B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55-44E1-9A8B-C6175BBE0B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55-44E1-9A8B-C6175BBE0B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9.5136362180753276E-5</c:v>
                </c:pt>
                <c:pt idx="1">
                  <c:v>-4.7495950900159657E-6</c:v>
                </c:pt>
                <c:pt idx="2">
                  <c:v>-3.8885363897982021E-4</c:v>
                </c:pt>
                <c:pt idx="3">
                  <c:v>-4.7203942042929343E-4</c:v>
                </c:pt>
                <c:pt idx="4">
                  <c:v>-9.3712356216953162E-4</c:v>
                </c:pt>
                <c:pt idx="5">
                  <c:v>-1.4831878017602046E-3</c:v>
                </c:pt>
                <c:pt idx="6">
                  <c:v>-2.4984324526321883E-3</c:v>
                </c:pt>
                <c:pt idx="7">
                  <c:v>-2.549793370724098E-3</c:v>
                </c:pt>
                <c:pt idx="8">
                  <c:v>-2.5554651285501985E-3</c:v>
                </c:pt>
                <c:pt idx="9">
                  <c:v>-2.5721653043714941E-3</c:v>
                </c:pt>
                <c:pt idx="10">
                  <c:v>-2.6191148552653261E-3</c:v>
                </c:pt>
                <c:pt idx="11">
                  <c:v>-2.6648040155311352E-3</c:v>
                </c:pt>
                <c:pt idx="12">
                  <c:v>-2.9531183716912423E-3</c:v>
                </c:pt>
                <c:pt idx="13">
                  <c:v>-3.0110963405802693E-3</c:v>
                </c:pt>
                <c:pt idx="14">
                  <c:v>-3.055840207875062E-3</c:v>
                </c:pt>
                <c:pt idx="15">
                  <c:v>-3.0659233328992406E-3</c:v>
                </c:pt>
                <c:pt idx="16">
                  <c:v>-3.0659233328992406E-3</c:v>
                </c:pt>
                <c:pt idx="17">
                  <c:v>-3.5117865175621384E-3</c:v>
                </c:pt>
                <c:pt idx="18">
                  <c:v>-3.5773268302192992E-3</c:v>
                </c:pt>
                <c:pt idx="19">
                  <c:v>-3.5877250529004834E-3</c:v>
                </c:pt>
                <c:pt idx="20">
                  <c:v>-3.7062017719345823E-3</c:v>
                </c:pt>
                <c:pt idx="21">
                  <c:v>-4.6656741375165778E-3</c:v>
                </c:pt>
                <c:pt idx="22">
                  <c:v>-5.725977753340359E-3</c:v>
                </c:pt>
                <c:pt idx="23">
                  <c:v>-5.7420477338476442E-3</c:v>
                </c:pt>
                <c:pt idx="24">
                  <c:v>-6.1652238872061402E-3</c:v>
                </c:pt>
                <c:pt idx="25">
                  <c:v>-6.2096526568439277E-3</c:v>
                </c:pt>
                <c:pt idx="26">
                  <c:v>-6.7900625410482083E-3</c:v>
                </c:pt>
                <c:pt idx="27">
                  <c:v>-7.2305690655420111E-3</c:v>
                </c:pt>
                <c:pt idx="28">
                  <c:v>-7.2390767022811617E-3</c:v>
                </c:pt>
                <c:pt idx="29">
                  <c:v>-7.2419125811942122E-3</c:v>
                </c:pt>
                <c:pt idx="30">
                  <c:v>-7.257667464044491E-3</c:v>
                </c:pt>
                <c:pt idx="31">
                  <c:v>-7.7438631488041037E-3</c:v>
                </c:pt>
                <c:pt idx="32">
                  <c:v>-7.7737974262196341E-3</c:v>
                </c:pt>
                <c:pt idx="33">
                  <c:v>-8.2499099859550673E-3</c:v>
                </c:pt>
                <c:pt idx="34">
                  <c:v>-8.2499099859550673E-3</c:v>
                </c:pt>
                <c:pt idx="35">
                  <c:v>-8.2499099859550673E-3</c:v>
                </c:pt>
                <c:pt idx="36">
                  <c:v>-8.8444992647245986E-3</c:v>
                </c:pt>
                <c:pt idx="37">
                  <c:v>-8.8687617843140297E-3</c:v>
                </c:pt>
                <c:pt idx="38">
                  <c:v>-9.2922530353295313E-3</c:v>
                </c:pt>
                <c:pt idx="39">
                  <c:v>-1.0351611358182296E-2</c:v>
                </c:pt>
                <c:pt idx="40">
                  <c:v>-1.0351611358182296E-2</c:v>
                </c:pt>
                <c:pt idx="41">
                  <c:v>-1.0411479913013357E-2</c:v>
                </c:pt>
                <c:pt idx="42">
                  <c:v>-1.0411479913013357E-2</c:v>
                </c:pt>
                <c:pt idx="43">
                  <c:v>-1.0411479913013357E-2</c:v>
                </c:pt>
                <c:pt idx="44">
                  <c:v>-1.0411479913013357E-2</c:v>
                </c:pt>
                <c:pt idx="45">
                  <c:v>-1.0451497315453065E-2</c:v>
                </c:pt>
                <c:pt idx="46">
                  <c:v>-1.0451497315453065E-2</c:v>
                </c:pt>
                <c:pt idx="47">
                  <c:v>-1.0451497315453065E-2</c:v>
                </c:pt>
                <c:pt idx="48">
                  <c:v>-1.0451497315453065E-2</c:v>
                </c:pt>
                <c:pt idx="49">
                  <c:v>-1.0772266730284748E-2</c:v>
                </c:pt>
                <c:pt idx="50">
                  <c:v>-1.0772266730284748E-2</c:v>
                </c:pt>
                <c:pt idx="51">
                  <c:v>-1.0772266730284748E-2</c:v>
                </c:pt>
                <c:pt idx="52">
                  <c:v>-1.0772266730284748E-2</c:v>
                </c:pt>
                <c:pt idx="53">
                  <c:v>-1.0777938488110848E-2</c:v>
                </c:pt>
                <c:pt idx="54">
                  <c:v>-1.0777938488110848E-2</c:v>
                </c:pt>
                <c:pt idx="55">
                  <c:v>-1.139395440755676E-2</c:v>
                </c:pt>
                <c:pt idx="56">
                  <c:v>-1.14922648765425E-2</c:v>
                </c:pt>
                <c:pt idx="57">
                  <c:v>-1.14922648765425E-2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55-44E1-9A8B-C6175BBE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76680"/>
        <c:axId val="1"/>
      </c:scatterChart>
      <c:valAx>
        <c:axId val="6950766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7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08633727619112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Cet - O-C Diagr.</a:t>
            </a:r>
          </a:p>
        </c:rich>
      </c:tx>
      <c:layout>
        <c:manualLayout>
          <c:xMode val="edge"/>
          <c:yMode val="edge"/>
          <c:x val="0.39078783057021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8-40FC-BBF1-D243479E89D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-3.789999995206017E-3</c:v>
                </c:pt>
                <c:pt idx="1">
                  <c:v>-3.0049999913899228E-3</c:v>
                </c:pt>
                <c:pt idx="2">
                  <c:v>4.4899999993504025E-3</c:v>
                </c:pt>
                <c:pt idx="3">
                  <c:v>-4.7899999990477227E-3</c:v>
                </c:pt>
                <c:pt idx="4">
                  <c:v>-1.2810000000172295E-2</c:v>
                </c:pt>
                <c:pt idx="5">
                  <c:v>-2.34499999351101E-3</c:v>
                </c:pt>
                <c:pt idx="6">
                  <c:v>-1.0349999938625842E-3</c:v>
                </c:pt>
                <c:pt idx="7">
                  <c:v>-2.4199999970733188E-3</c:v>
                </c:pt>
                <c:pt idx="8">
                  <c:v>4.6999999904073775E-4</c:v>
                </c:pt>
                <c:pt idx="12">
                  <c:v>-2.2199999948497862E-3</c:v>
                </c:pt>
                <c:pt idx="14">
                  <c:v>-3.0899999983375892E-3</c:v>
                </c:pt>
                <c:pt idx="15">
                  <c:v>-3.4299999970244244E-3</c:v>
                </c:pt>
                <c:pt idx="16">
                  <c:v>-3.1299999973271042E-3</c:v>
                </c:pt>
                <c:pt idx="19">
                  <c:v>-6.4999999449355528E-4</c:v>
                </c:pt>
                <c:pt idx="20">
                  <c:v>-3.4699999960139394E-3</c:v>
                </c:pt>
                <c:pt idx="21">
                  <c:v>-3.9449999967473559E-3</c:v>
                </c:pt>
                <c:pt idx="25">
                  <c:v>-9.3449999985750765E-3</c:v>
                </c:pt>
                <c:pt idx="26">
                  <c:v>-6.5350000004400499E-3</c:v>
                </c:pt>
                <c:pt idx="27">
                  <c:v>-7.5450000003911555E-3</c:v>
                </c:pt>
                <c:pt idx="28">
                  <c:v>-6.9100000036996789E-3</c:v>
                </c:pt>
                <c:pt idx="29">
                  <c:v>-4.1649999984656461E-3</c:v>
                </c:pt>
                <c:pt idx="30">
                  <c:v>-6.9149999981164001E-3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8-40FC-BBF1-D243479E89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8-40FC-BBF1-D243479E89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-1.6649999961373396E-3</c:v>
                </c:pt>
                <c:pt idx="10">
                  <c:v>-2.9199999989941716E-3</c:v>
                </c:pt>
                <c:pt idx="11">
                  <c:v>-2.8949999978067353E-3</c:v>
                </c:pt>
                <c:pt idx="13">
                  <c:v>0</c:v>
                </c:pt>
                <c:pt idx="17">
                  <c:v>-3.4550000200397335E-3</c:v>
                </c:pt>
                <c:pt idx="18">
                  <c:v>-4.3149999983143061E-3</c:v>
                </c:pt>
                <c:pt idx="22">
                  <c:v>-6.4199999978882261E-3</c:v>
                </c:pt>
                <c:pt idx="23">
                  <c:v>-7.0649999979650602E-3</c:v>
                </c:pt>
                <c:pt idx="24">
                  <c:v>-5.9499999988474883E-3</c:v>
                </c:pt>
                <c:pt idx="31">
                  <c:v>-5.900000011024531E-3</c:v>
                </c:pt>
                <c:pt idx="32">
                  <c:v>-6.5249999242951162E-3</c:v>
                </c:pt>
                <c:pt idx="33">
                  <c:v>-3.8700000004610047E-3</c:v>
                </c:pt>
                <c:pt idx="34">
                  <c:v>-3.8699999859090894E-3</c:v>
                </c:pt>
                <c:pt idx="35">
                  <c:v>-3.8699999859090894E-3</c:v>
                </c:pt>
                <c:pt idx="36">
                  <c:v>-6.3349999982165173E-3</c:v>
                </c:pt>
                <c:pt idx="37">
                  <c:v>-6.7499999931897037E-3</c:v>
                </c:pt>
                <c:pt idx="38">
                  <c:v>-6.7299999936949462E-3</c:v>
                </c:pt>
                <c:pt idx="39">
                  <c:v>-8.820000002742745E-3</c:v>
                </c:pt>
                <c:pt idx="40">
                  <c:v>-6.8200000023352914E-3</c:v>
                </c:pt>
                <c:pt idx="41">
                  <c:v>-1.1469999997643754E-2</c:v>
                </c:pt>
                <c:pt idx="42">
                  <c:v>-1.0769999993499368E-2</c:v>
                </c:pt>
                <c:pt idx="43">
                  <c:v>-9.6699999921838753E-3</c:v>
                </c:pt>
                <c:pt idx="44">
                  <c:v>-8.6699999956181273E-3</c:v>
                </c:pt>
                <c:pt idx="45">
                  <c:v>-1.0535000001254957E-2</c:v>
                </c:pt>
                <c:pt idx="46">
                  <c:v>-9.6349999948870391E-3</c:v>
                </c:pt>
                <c:pt idx="47">
                  <c:v>-8.4349999960977584E-3</c:v>
                </c:pt>
                <c:pt idx="48">
                  <c:v>-7.6349999944795854E-3</c:v>
                </c:pt>
                <c:pt idx="49">
                  <c:v>-1.4445000000705477E-2</c:v>
                </c:pt>
                <c:pt idx="50">
                  <c:v>-1.2445000000298023E-2</c:v>
                </c:pt>
                <c:pt idx="51">
                  <c:v>-1.2345000002824236E-2</c:v>
                </c:pt>
                <c:pt idx="52">
                  <c:v>-1.134499999898253E-2</c:v>
                </c:pt>
                <c:pt idx="53">
                  <c:v>-1.2954999998328276E-2</c:v>
                </c:pt>
                <c:pt idx="54">
                  <c:v>-1.2555000001157168E-2</c:v>
                </c:pt>
                <c:pt idx="55">
                  <c:v>-1.8379999819444492E-2</c:v>
                </c:pt>
                <c:pt idx="56">
                  <c:v>-1.752000002306886E-2</c:v>
                </c:pt>
                <c:pt idx="57">
                  <c:v>-1.7220000067027286E-2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8-40FC-BBF1-D243479E89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2625.5</c:v>
                </c:pt>
                <c:pt idx="22">
                  <c:v>4308</c:v>
                </c:pt>
                <c:pt idx="23">
                  <c:v>4333.5</c:v>
                </c:pt>
                <c:pt idx="24">
                  <c:v>5005</c:v>
                </c:pt>
                <c:pt idx="25">
                  <c:v>5075.5</c:v>
                </c:pt>
                <c:pt idx="26">
                  <c:v>5996.5</c:v>
                </c:pt>
                <c:pt idx="27">
                  <c:v>6695.5</c:v>
                </c:pt>
                <c:pt idx="28">
                  <c:v>6709</c:v>
                </c:pt>
                <c:pt idx="29">
                  <c:v>6713.5</c:v>
                </c:pt>
                <c:pt idx="30">
                  <c:v>6738.5</c:v>
                </c:pt>
                <c:pt idx="31">
                  <c:v>7510</c:v>
                </c:pt>
                <c:pt idx="32">
                  <c:v>7557.5</c:v>
                </c:pt>
                <c:pt idx="33">
                  <c:v>8313</c:v>
                </c:pt>
                <c:pt idx="34">
                  <c:v>8313</c:v>
                </c:pt>
                <c:pt idx="35">
                  <c:v>8313</c:v>
                </c:pt>
                <c:pt idx="36">
                  <c:v>9256.5</c:v>
                </c:pt>
                <c:pt idx="37">
                  <c:v>9295</c:v>
                </c:pt>
                <c:pt idx="38">
                  <c:v>9967</c:v>
                </c:pt>
                <c:pt idx="39">
                  <c:v>11648</c:v>
                </c:pt>
                <c:pt idx="40">
                  <c:v>11648</c:v>
                </c:pt>
                <c:pt idx="41">
                  <c:v>11743</c:v>
                </c:pt>
                <c:pt idx="42">
                  <c:v>11743</c:v>
                </c:pt>
                <c:pt idx="43">
                  <c:v>11743</c:v>
                </c:pt>
                <c:pt idx="44">
                  <c:v>11743</c:v>
                </c:pt>
                <c:pt idx="45">
                  <c:v>11806.5</c:v>
                </c:pt>
                <c:pt idx="46">
                  <c:v>11806.5</c:v>
                </c:pt>
                <c:pt idx="47">
                  <c:v>11806.5</c:v>
                </c:pt>
                <c:pt idx="48">
                  <c:v>11806.5</c:v>
                </c:pt>
                <c:pt idx="49">
                  <c:v>12315.5</c:v>
                </c:pt>
                <c:pt idx="50">
                  <c:v>12315.5</c:v>
                </c:pt>
                <c:pt idx="51">
                  <c:v>12315.5</c:v>
                </c:pt>
                <c:pt idx="52">
                  <c:v>12315.5</c:v>
                </c:pt>
                <c:pt idx="53">
                  <c:v>12324.5</c:v>
                </c:pt>
                <c:pt idx="54">
                  <c:v>12324.5</c:v>
                </c:pt>
                <c:pt idx="55">
                  <c:v>13302</c:v>
                </c:pt>
                <c:pt idx="56">
                  <c:v>13458</c:v>
                </c:pt>
                <c:pt idx="57">
                  <c:v>13458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9.5136362180753276E-5</c:v>
                </c:pt>
                <c:pt idx="1">
                  <c:v>-4.7495950900159657E-6</c:v>
                </c:pt>
                <c:pt idx="2">
                  <c:v>-3.8885363897982021E-4</c:v>
                </c:pt>
                <c:pt idx="3">
                  <c:v>-4.7203942042929343E-4</c:v>
                </c:pt>
                <c:pt idx="4">
                  <c:v>-9.3712356216953162E-4</c:v>
                </c:pt>
                <c:pt idx="5">
                  <c:v>-1.4831878017602046E-3</c:v>
                </c:pt>
                <c:pt idx="6">
                  <c:v>-2.4984324526321883E-3</c:v>
                </c:pt>
                <c:pt idx="7">
                  <c:v>-2.549793370724098E-3</c:v>
                </c:pt>
                <c:pt idx="8">
                  <c:v>-2.5554651285501985E-3</c:v>
                </c:pt>
                <c:pt idx="9">
                  <c:v>-2.5721653043714941E-3</c:v>
                </c:pt>
                <c:pt idx="10">
                  <c:v>-2.6191148552653261E-3</c:v>
                </c:pt>
                <c:pt idx="11">
                  <c:v>-2.6648040155311352E-3</c:v>
                </c:pt>
                <c:pt idx="12">
                  <c:v>-2.9531183716912423E-3</c:v>
                </c:pt>
                <c:pt idx="13">
                  <c:v>-3.0110963405802693E-3</c:v>
                </c:pt>
                <c:pt idx="14">
                  <c:v>-3.055840207875062E-3</c:v>
                </c:pt>
                <c:pt idx="15">
                  <c:v>-3.0659233328992406E-3</c:v>
                </c:pt>
                <c:pt idx="16">
                  <c:v>-3.0659233328992406E-3</c:v>
                </c:pt>
                <c:pt idx="17">
                  <c:v>-3.5117865175621384E-3</c:v>
                </c:pt>
                <c:pt idx="18">
                  <c:v>-3.5773268302192992E-3</c:v>
                </c:pt>
                <c:pt idx="19">
                  <c:v>-3.5877250529004834E-3</c:v>
                </c:pt>
                <c:pt idx="20">
                  <c:v>-3.7062017719345823E-3</c:v>
                </c:pt>
                <c:pt idx="21">
                  <c:v>-4.6656741375165778E-3</c:v>
                </c:pt>
                <c:pt idx="22">
                  <c:v>-5.725977753340359E-3</c:v>
                </c:pt>
                <c:pt idx="23">
                  <c:v>-5.7420477338476442E-3</c:v>
                </c:pt>
                <c:pt idx="24">
                  <c:v>-6.1652238872061402E-3</c:v>
                </c:pt>
                <c:pt idx="25">
                  <c:v>-6.2096526568439277E-3</c:v>
                </c:pt>
                <c:pt idx="26">
                  <c:v>-6.7900625410482083E-3</c:v>
                </c:pt>
                <c:pt idx="27">
                  <c:v>-7.2305690655420111E-3</c:v>
                </c:pt>
                <c:pt idx="28">
                  <c:v>-7.2390767022811617E-3</c:v>
                </c:pt>
                <c:pt idx="29">
                  <c:v>-7.2419125811942122E-3</c:v>
                </c:pt>
                <c:pt idx="30">
                  <c:v>-7.257667464044491E-3</c:v>
                </c:pt>
                <c:pt idx="31">
                  <c:v>-7.7438631488041037E-3</c:v>
                </c:pt>
                <c:pt idx="32">
                  <c:v>-7.7737974262196341E-3</c:v>
                </c:pt>
                <c:pt idx="33">
                  <c:v>-8.2499099859550673E-3</c:v>
                </c:pt>
                <c:pt idx="34">
                  <c:v>-8.2499099859550673E-3</c:v>
                </c:pt>
                <c:pt idx="35">
                  <c:v>-8.2499099859550673E-3</c:v>
                </c:pt>
                <c:pt idx="36">
                  <c:v>-8.8444992647245986E-3</c:v>
                </c:pt>
                <c:pt idx="37">
                  <c:v>-8.8687617843140297E-3</c:v>
                </c:pt>
                <c:pt idx="38">
                  <c:v>-9.2922530353295313E-3</c:v>
                </c:pt>
                <c:pt idx="39">
                  <c:v>-1.0351611358182296E-2</c:v>
                </c:pt>
                <c:pt idx="40">
                  <c:v>-1.0351611358182296E-2</c:v>
                </c:pt>
                <c:pt idx="41">
                  <c:v>-1.0411479913013357E-2</c:v>
                </c:pt>
                <c:pt idx="42">
                  <c:v>-1.0411479913013357E-2</c:v>
                </c:pt>
                <c:pt idx="43">
                  <c:v>-1.0411479913013357E-2</c:v>
                </c:pt>
                <c:pt idx="44">
                  <c:v>-1.0411479913013357E-2</c:v>
                </c:pt>
                <c:pt idx="45">
                  <c:v>-1.0451497315453065E-2</c:v>
                </c:pt>
                <c:pt idx="46">
                  <c:v>-1.0451497315453065E-2</c:v>
                </c:pt>
                <c:pt idx="47">
                  <c:v>-1.0451497315453065E-2</c:v>
                </c:pt>
                <c:pt idx="48">
                  <c:v>-1.0451497315453065E-2</c:v>
                </c:pt>
                <c:pt idx="49">
                  <c:v>-1.0772266730284748E-2</c:v>
                </c:pt>
                <c:pt idx="50">
                  <c:v>-1.0772266730284748E-2</c:v>
                </c:pt>
                <c:pt idx="51">
                  <c:v>-1.0772266730284748E-2</c:v>
                </c:pt>
                <c:pt idx="52">
                  <c:v>-1.0772266730284748E-2</c:v>
                </c:pt>
                <c:pt idx="53">
                  <c:v>-1.0777938488110848E-2</c:v>
                </c:pt>
                <c:pt idx="54">
                  <c:v>-1.0777938488110848E-2</c:v>
                </c:pt>
                <c:pt idx="55">
                  <c:v>-1.139395440755676E-2</c:v>
                </c:pt>
                <c:pt idx="56">
                  <c:v>-1.14922648765425E-2</c:v>
                </c:pt>
                <c:pt idx="57">
                  <c:v>-1.14922648765425E-2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48-40FC-BBF1-D243479E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76680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5.9999999999999995E-4</c:v>
                        </c:pt>
                        <c:pt idx="23">
                          <c:v>0</c:v>
                        </c:pt>
                        <c:pt idx="24">
                          <c:v>5.0000000000000001E-4</c:v>
                        </c:pt>
                        <c:pt idx="25">
                          <c:v>0</c:v>
                        </c:pt>
                        <c:pt idx="26">
                          <c:v>0</c:v>
                        </c:pt>
                        <c:pt idx="27">
                          <c:v>0</c:v>
                        </c:pt>
                        <c:pt idx="28">
                          <c:v>0</c:v>
                        </c:pt>
                        <c:pt idx="29">
                          <c:v>0</c:v>
                        </c:pt>
                        <c:pt idx="30">
                          <c:v>0</c:v>
                        </c:pt>
                        <c:pt idx="31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5">
                          <c:v>0</c:v>
                        </c:pt>
                        <c:pt idx="36">
                          <c:v>0</c:v>
                        </c:pt>
                        <c:pt idx="37">
                          <c:v>0</c:v>
                        </c:pt>
                        <c:pt idx="38">
                          <c:v>0</c:v>
                        </c:pt>
                        <c:pt idx="39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0</c:v>
                        </c:pt>
                        <c:pt idx="48">
                          <c:v>0</c:v>
                        </c:pt>
                        <c:pt idx="49">
                          <c:v>0</c:v>
                        </c:pt>
                        <c:pt idx="50">
                          <c:v>0</c:v>
                        </c:pt>
                        <c:pt idx="51">
                          <c:v>0</c:v>
                        </c:pt>
                        <c:pt idx="52">
                          <c:v>0</c:v>
                        </c:pt>
                        <c:pt idx="53">
                          <c:v>0</c:v>
                        </c:pt>
                        <c:pt idx="54">
                          <c:v>0</c:v>
                        </c:pt>
                        <c:pt idx="55">
                          <c:v>0</c:v>
                        </c:pt>
                        <c:pt idx="56">
                          <c:v>0</c:v>
                        </c:pt>
                        <c:pt idx="57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5.9999999999999995E-4</c:v>
                        </c:pt>
                        <c:pt idx="23">
                          <c:v>0</c:v>
                        </c:pt>
                        <c:pt idx="24">
                          <c:v>5.0000000000000001E-4</c:v>
                        </c:pt>
                        <c:pt idx="25">
                          <c:v>0</c:v>
                        </c:pt>
                        <c:pt idx="26">
                          <c:v>0</c:v>
                        </c:pt>
                        <c:pt idx="27">
                          <c:v>0</c:v>
                        </c:pt>
                        <c:pt idx="28">
                          <c:v>0</c:v>
                        </c:pt>
                        <c:pt idx="29">
                          <c:v>0</c:v>
                        </c:pt>
                        <c:pt idx="30">
                          <c:v>0</c:v>
                        </c:pt>
                        <c:pt idx="31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5">
                          <c:v>0</c:v>
                        </c:pt>
                        <c:pt idx="36">
                          <c:v>0</c:v>
                        </c:pt>
                        <c:pt idx="37">
                          <c:v>0</c:v>
                        </c:pt>
                        <c:pt idx="38">
                          <c:v>0</c:v>
                        </c:pt>
                        <c:pt idx="39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0</c:v>
                        </c:pt>
                        <c:pt idx="48">
                          <c:v>0</c:v>
                        </c:pt>
                        <c:pt idx="49">
                          <c:v>0</c:v>
                        </c:pt>
                        <c:pt idx="50">
                          <c:v>0</c:v>
                        </c:pt>
                        <c:pt idx="51">
                          <c:v>0</c:v>
                        </c:pt>
                        <c:pt idx="52">
                          <c:v>0</c:v>
                        </c:pt>
                        <c:pt idx="53">
                          <c:v>0</c:v>
                        </c:pt>
                        <c:pt idx="54">
                          <c:v>0</c:v>
                        </c:pt>
                        <c:pt idx="55">
                          <c:v>0</c:v>
                        </c:pt>
                        <c:pt idx="56">
                          <c:v>0</c:v>
                        </c:pt>
                        <c:pt idx="57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-4929</c:v>
                      </c:pt>
                      <c:pt idx="1">
                        <c:v>-4770.5</c:v>
                      </c:pt>
                      <c:pt idx="2">
                        <c:v>-4161</c:v>
                      </c:pt>
                      <c:pt idx="3">
                        <c:v>-4029</c:v>
                      </c:pt>
                      <c:pt idx="4">
                        <c:v>-3291</c:v>
                      </c:pt>
                      <c:pt idx="5">
                        <c:v>-2424.5</c:v>
                      </c:pt>
                      <c:pt idx="6">
                        <c:v>-813.5</c:v>
                      </c:pt>
                      <c:pt idx="7">
                        <c:v>-732</c:v>
                      </c:pt>
                      <c:pt idx="8">
                        <c:v>-723</c:v>
                      </c:pt>
                      <c:pt idx="9">
                        <c:v>-696.5</c:v>
                      </c:pt>
                      <c:pt idx="10">
                        <c:v>-622</c:v>
                      </c:pt>
                      <c:pt idx="11">
                        <c:v>-549.5</c:v>
                      </c:pt>
                      <c:pt idx="12">
                        <c:v>-92</c:v>
                      </c:pt>
                      <c:pt idx="13">
                        <c:v>0</c:v>
                      </c:pt>
                      <c:pt idx="14">
                        <c:v>71</c:v>
                      </c:pt>
                      <c:pt idx="15">
                        <c:v>87</c:v>
                      </c:pt>
                      <c:pt idx="16">
                        <c:v>87</c:v>
                      </c:pt>
                      <c:pt idx="17">
                        <c:v>794.5</c:v>
                      </c:pt>
                      <c:pt idx="18">
                        <c:v>898.5</c:v>
                      </c:pt>
                      <c:pt idx="19">
                        <c:v>915</c:v>
                      </c:pt>
                      <c:pt idx="20">
                        <c:v>1103</c:v>
                      </c:pt>
                      <c:pt idx="21">
                        <c:v>2625.5</c:v>
                      </c:pt>
                      <c:pt idx="22">
                        <c:v>4308</c:v>
                      </c:pt>
                      <c:pt idx="23">
                        <c:v>4333.5</c:v>
                      </c:pt>
                      <c:pt idx="24">
                        <c:v>5005</c:v>
                      </c:pt>
                      <c:pt idx="25">
                        <c:v>5075.5</c:v>
                      </c:pt>
                      <c:pt idx="26">
                        <c:v>5996.5</c:v>
                      </c:pt>
                      <c:pt idx="27">
                        <c:v>6695.5</c:v>
                      </c:pt>
                      <c:pt idx="28">
                        <c:v>6709</c:v>
                      </c:pt>
                      <c:pt idx="29">
                        <c:v>6713.5</c:v>
                      </c:pt>
                      <c:pt idx="30">
                        <c:v>6738.5</c:v>
                      </c:pt>
                      <c:pt idx="31">
                        <c:v>7510</c:v>
                      </c:pt>
                      <c:pt idx="32">
                        <c:v>7557.5</c:v>
                      </c:pt>
                      <c:pt idx="33">
                        <c:v>8313</c:v>
                      </c:pt>
                      <c:pt idx="34">
                        <c:v>8313</c:v>
                      </c:pt>
                      <c:pt idx="35">
                        <c:v>8313</c:v>
                      </c:pt>
                      <c:pt idx="36">
                        <c:v>9256.5</c:v>
                      </c:pt>
                      <c:pt idx="37">
                        <c:v>9295</c:v>
                      </c:pt>
                      <c:pt idx="38">
                        <c:v>9967</c:v>
                      </c:pt>
                      <c:pt idx="39">
                        <c:v>11648</c:v>
                      </c:pt>
                      <c:pt idx="40">
                        <c:v>11648</c:v>
                      </c:pt>
                      <c:pt idx="41">
                        <c:v>11743</c:v>
                      </c:pt>
                      <c:pt idx="42">
                        <c:v>11743</c:v>
                      </c:pt>
                      <c:pt idx="43">
                        <c:v>11743</c:v>
                      </c:pt>
                      <c:pt idx="44">
                        <c:v>11743</c:v>
                      </c:pt>
                      <c:pt idx="45">
                        <c:v>11806.5</c:v>
                      </c:pt>
                      <c:pt idx="46">
                        <c:v>11806.5</c:v>
                      </c:pt>
                      <c:pt idx="47">
                        <c:v>11806.5</c:v>
                      </c:pt>
                      <c:pt idx="48">
                        <c:v>11806.5</c:v>
                      </c:pt>
                      <c:pt idx="49">
                        <c:v>12315.5</c:v>
                      </c:pt>
                      <c:pt idx="50">
                        <c:v>12315.5</c:v>
                      </c:pt>
                      <c:pt idx="51">
                        <c:v>12315.5</c:v>
                      </c:pt>
                      <c:pt idx="52">
                        <c:v>12315.5</c:v>
                      </c:pt>
                      <c:pt idx="53">
                        <c:v>12324.5</c:v>
                      </c:pt>
                      <c:pt idx="54">
                        <c:v>12324.5</c:v>
                      </c:pt>
                      <c:pt idx="55">
                        <c:v>13302</c:v>
                      </c:pt>
                      <c:pt idx="56">
                        <c:v>13458</c:v>
                      </c:pt>
                      <c:pt idx="57">
                        <c:v>13458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7048-40FC-BBF1-D243479E89D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5.9999999999999995E-4</c:v>
                        </c:pt>
                        <c:pt idx="23">
                          <c:v>0</c:v>
                        </c:pt>
                        <c:pt idx="24">
                          <c:v>5.0000000000000001E-4</c:v>
                        </c:pt>
                        <c:pt idx="25">
                          <c:v>0</c:v>
                        </c:pt>
                        <c:pt idx="26">
                          <c:v>0</c:v>
                        </c:pt>
                        <c:pt idx="27">
                          <c:v>0</c:v>
                        </c:pt>
                        <c:pt idx="28">
                          <c:v>0</c:v>
                        </c:pt>
                        <c:pt idx="29">
                          <c:v>0</c:v>
                        </c:pt>
                        <c:pt idx="30">
                          <c:v>0</c:v>
                        </c:pt>
                        <c:pt idx="31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5">
                          <c:v>0</c:v>
                        </c:pt>
                        <c:pt idx="36">
                          <c:v>0</c:v>
                        </c:pt>
                        <c:pt idx="37">
                          <c:v>0</c:v>
                        </c:pt>
                        <c:pt idx="38">
                          <c:v>0</c:v>
                        </c:pt>
                        <c:pt idx="39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0</c:v>
                        </c:pt>
                        <c:pt idx="48">
                          <c:v>0</c:v>
                        </c:pt>
                        <c:pt idx="49">
                          <c:v>0</c:v>
                        </c:pt>
                        <c:pt idx="50">
                          <c:v>0</c:v>
                        </c:pt>
                        <c:pt idx="51">
                          <c:v>0</c:v>
                        </c:pt>
                        <c:pt idx="52">
                          <c:v>0</c:v>
                        </c:pt>
                        <c:pt idx="53">
                          <c:v>0</c:v>
                        </c:pt>
                        <c:pt idx="54">
                          <c:v>0</c:v>
                        </c:pt>
                        <c:pt idx="55">
                          <c:v>0</c:v>
                        </c:pt>
                        <c:pt idx="56">
                          <c:v>0</c:v>
                        </c:pt>
                        <c:pt idx="57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5.9999999999999995E-4</c:v>
                        </c:pt>
                        <c:pt idx="23">
                          <c:v>0</c:v>
                        </c:pt>
                        <c:pt idx="24">
                          <c:v>5.0000000000000001E-4</c:v>
                        </c:pt>
                        <c:pt idx="25">
                          <c:v>0</c:v>
                        </c:pt>
                        <c:pt idx="26">
                          <c:v>0</c:v>
                        </c:pt>
                        <c:pt idx="27">
                          <c:v>0</c:v>
                        </c:pt>
                        <c:pt idx="28">
                          <c:v>0</c:v>
                        </c:pt>
                        <c:pt idx="29">
                          <c:v>0</c:v>
                        </c:pt>
                        <c:pt idx="30">
                          <c:v>0</c:v>
                        </c:pt>
                        <c:pt idx="31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5">
                          <c:v>0</c:v>
                        </c:pt>
                        <c:pt idx="36">
                          <c:v>0</c:v>
                        </c:pt>
                        <c:pt idx="37">
                          <c:v>0</c:v>
                        </c:pt>
                        <c:pt idx="38">
                          <c:v>0</c:v>
                        </c:pt>
                        <c:pt idx="39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0</c:v>
                        </c:pt>
                        <c:pt idx="48">
                          <c:v>0</c:v>
                        </c:pt>
                        <c:pt idx="49">
                          <c:v>0</c:v>
                        </c:pt>
                        <c:pt idx="50">
                          <c:v>0</c:v>
                        </c:pt>
                        <c:pt idx="51">
                          <c:v>0</c:v>
                        </c:pt>
                        <c:pt idx="52">
                          <c:v>0</c:v>
                        </c:pt>
                        <c:pt idx="53">
                          <c:v>0</c:v>
                        </c:pt>
                        <c:pt idx="54">
                          <c:v>0</c:v>
                        </c:pt>
                        <c:pt idx="55">
                          <c:v>0</c:v>
                        </c:pt>
                        <c:pt idx="56">
                          <c:v>0</c:v>
                        </c:pt>
                        <c:pt idx="57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-4929</c:v>
                      </c:pt>
                      <c:pt idx="1">
                        <c:v>-4770.5</c:v>
                      </c:pt>
                      <c:pt idx="2">
                        <c:v>-4161</c:v>
                      </c:pt>
                      <c:pt idx="3">
                        <c:v>-4029</c:v>
                      </c:pt>
                      <c:pt idx="4">
                        <c:v>-3291</c:v>
                      </c:pt>
                      <c:pt idx="5">
                        <c:v>-2424.5</c:v>
                      </c:pt>
                      <c:pt idx="6">
                        <c:v>-813.5</c:v>
                      </c:pt>
                      <c:pt idx="7">
                        <c:v>-732</c:v>
                      </c:pt>
                      <c:pt idx="8">
                        <c:v>-723</c:v>
                      </c:pt>
                      <c:pt idx="9">
                        <c:v>-696.5</c:v>
                      </c:pt>
                      <c:pt idx="10">
                        <c:v>-622</c:v>
                      </c:pt>
                      <c:pt idx="11">
                        <c:v>-549.5</c:v>
                      </c:pt>
                      <c:pt idx="12">
                        <c:v>-92</c:v>
                      </c:pt>
                      <c:pt idx="13">
                        <c:v>0</c:v>
                      </c:pt>
                      <c:pt idx="14">
                        <c:v>71</c:v>
                      </c:pt>
                      <c:pt idx="15">
                        <c:v>87</c:v>
                      </c:pt>
                      <c:pt idx="16">
                        <c:v>87</c:v>
                      </c:pt>
                      <c:pt idx="17">
                        <c:v>794.5</c:v>
                      </c:pt>
                      <c:pt idx="18">
                        <c:v>898.5</c:v>
                      </c:pt>
                      <c:pt idx="19">
                        <c:v>915</c:v>
                      </c:pt>
                      <c:pt idx="20">
                        <c:v>1103</c:v>
                      </c:pt>
                      <c:pt idx="21">
                        <c:v>2625.5</c:v>
                      </c:pt>
                      <c:pt idx="22">
                        <c:v>4308</c:v>
                      </c:pt>
                      <c:pt idx="23">
                        <c:v>4333.5</c:v>
                      </c:pt>
                      <c:pt idx="24">
                        <c:v>5005</c:v>
                      </c:pt>
                      <c:pt idx="25">
                        <c:v>5075.5</c:v>
                      </c:pt>
                      <c:pt idx="26">
                        <c:v>5996.5</c:v>
                      </c:pt>
                      <c:pt idx="27">
                        <c:v>6695.5</c:v>
                      </c:pt>
                      <c:pt idx="28">
                        <c:v>6709</c:v>
                      </c:pt>
                      <c:pt idx="29">
                        <c:v>6713.5</c:v>
                      </c:pt>
                      <c:pt idx="30">
                        <c:v>6738.5</c:v>
                      </c:pt>
                      <c:pt idx="31">
                        <c:v>7510</c:v>
                      </c:pt>
                      <c:pt idx="32">
                        <c:v>7557.5</c:v>
                      </c:pt>
                      <c:pt idx="33">
                        <c:v>8313</c:v>
                      </c:pt>
                      <c:pt idx="34">
                        <c:v>8313</c:v>
                      </c:pt>
                      <c:pt idx="35">
                        <c:v>8313</c:v>
                      </c:pt>
                      <c:pt idx="36">
                        <c:v>9256.5</c:v>
                      </c:pt>
                      <c:pt idx="37">
                        <c:v>9295</c:v>
                      </c:pt>
                      <c:pt idx="38">
                        <c:v>9967</c:v>
                      </c:pt>
                      <c:pt idx="39">
                        <c:v>11648</c:v>
                      </c:pt>
                      <c:pt idx="40">
                        <c:v>11648</c:v>
                      </c:pt>
                      <c:pt idx="41">
                        <c:v>11743</c:v>
                      </c:pt>
                      <c:pt idx="42">
                        <c:v>11743</c:v>
                      </c:pt>
                      <c:pt idx="43">
                        <c:v>11743</c:v>
                      </c:pt>
                      <c:pt idx="44">
                        <c:v>11743</c:v>
                      </c:pt>
                      <c:pt idx="45">
                        <c:v>11806.5</c:v>
                      </c:pt>
                      <c:pt idx="46">
                        <c:v>11806.5</c:v>
                      </c:pt>
                      <c:pt idx="47">
                        <c:v>11806.5</c:v>
                      </c:pt>
                      <c:pt idx="48">
                        <c:v>11806.5</c:v>
                      </c:pt>
                      <c:pt idx="49">
                        <c:v>12315.5</c:v>
                      </c:pt>
                      <c:pt idx="50">
                        <c:v>12315.5</c:v>
                      </c:pt>
                      <c:pt idx="51">
                        <c:v>12315.5</c:v>
                      </c:pt>
                      <c:pt idx="52">
                        <c:v>12315.5</c:v>
                      </c:pt>
                      <c:pt idx="53">
                        <c:v>12324.5</c:v>
                      </c:pt>
                      <c:pt idx="54">
                        <c:v>12324.5</c:v>
                      </c:pt>
                      <c:pt idx="55">
                        <c:v>13302</c:v>
                      </c:pt>
                      <c:pt idx="56">
                        <c:v>13458</c:v>
                      </c:pt>
                      <c:pt idx="57">
                        <c:v>13458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Active!$M$21:$M$995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7048-40FC-BBF1-D243479E89D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5.9999999999999995E-4</c:v>
                        </c:pt>
                        <c:pt idx="23">
                          <c:v>0</c:v>
                        </c:pt>
                        <c:pt idx="24">
                          <c:v>5.0000000000000001E-4</c:v>
                        </c:pt>
                        <c:pt idx="25">
                          <c:v>0</c:v>
                        </c:pt>
                        <c:pt idx="26">
                          <c:v>0</c:v>
                        </c:pt>
                        <c:pt idx="27">
                          <c:v>0</c:v>
                        </c:pt>
                        <c:pt idx="28">
                          <c:v>0</c:v>
                        </c:pt>
                        <c:pt idx="29">
                          <c:v>0</c:v>
                        </c:pt>
                        <c:pt idx="30">
                          <c:v>0</c:v>
                        </c:pt>
                        <c:pt idx="31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5">
                          <c:v>0</c:v>
                        </c:pt>
                        <c:pt idx="36">
                          <c:v>0</c:v>
                        </c:pt>
                        <c:pt idx="37">
                          <c:v>0</c:v>
                        </c:pt>
                        <c:pt idx="38">
                          <c:v>0</c:v>
                        </c:pt>
                        <c:pt idx="39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0</c:v>
                        </c:pt>
                        <c:pt idx="48">
                          <c:v>0</c:v>
                        </c:pt>
                        <c:pt idx="49">
                          <c:v>0</c:v>
                        </c:pt>
                        <c:pt idx="50">
                          <c:v>0</c:v>
                        </c:pt>
                        <c:pt idx="51">
                          <c:v>0</c:v>
                        </c:pt>
                        <c:pt idx="52">
                          <c:v>0</c:v>
                        </c:pt>
                        <c:pt idx="53">
                          <c:v>0</c:v>
                        </c:pt>
                        <c:pt idx="54">
                          <c:v>0</c:v>
                        </c:pt>
                        <c:pt idx="55">
                          <c:v>0</c:v>
                        </c:pt>
                        <c:pt idx="56">
                          <c:v>0</c:v>
                        </c:pt>
                        <c:pt idx="57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5.9999999999999995E-4</c:v>
                        </c:pt>
                        <c:pt idx="23">
                          <c:v>0</c:v>
                        </c:pt>
                        <c:pt idx="24">
                          <c:v>5.0000000000000001E-4</c:v>
                        </c:pt>
                        <c:pt idx="25">
                          <c:v>0</c:v>
                        </c:pt>
                        <c:pt idx="26">
                          <c:v>0</c:v>
                        </c:pt>
                        <c:pt idx="27">
                          <c:v>0</c:v>
                        </c:pt>
                        <c:pt idx="28">
                          <c:v>0</c:v>
                        </c:pt>
                        <c:pt idx="29">
                          <c:v>0</c:v>
                        </c:pt>
                        <c:pt idx="30">
                          <c:v>0</c:v>
                        </c:pt>
                        <c:pt idx="31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5">
                          <c:v>0</c:v>
                        </c:pt>
                        <c:pt idx="36">
                          <c:v>0</c:v>
                        </c:pt>
                        <c:pt idx="37">
                          <c:v>0</c:v>
                        </c:pt>
                        <c:pt idx="38">
                          <c:v>0</c:v>
                        </c:pt>
                        <c:pt idx="39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0</c:v>
                        </c:pt>
                        <c:pt idx="48">
                          <c:v>0</c:v>
                        </c:pt>
                        <c:pt idx="49">
                          <c:v>0</c:v>
                        </c:pt>
                        <c:pt idx="50">
                          <c:v>0</c:v>
                        </c:pt>
                        <c:pt idx="51">
                          <c:v>0</c:v>
                        </c:pt>
                        <c:pt idx="52">
                          <c:v>0</c:v>
                        </c:pt>
                        <c:pt idx="53">
                          <c:v>0</c:v>
                        </c:pt>
                        <c:pt idx="54">
                          <c:v>0</c:v>
                        </c:pt>
                        <c:pt idx="55">
                          <c:v>0</c:v>
                        </c:pt>
                        <c:pt idx="56">
                          <c:v>0</c:v>
                        </c:pt>
                        <c:pt idx="57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-4929</c:v>
                      </c:pt>
                      <c:pt idx="1">
                        <c:v>-4770.5</c:v>
                      </c:pt>
                      <c:pt idx="2">
                        <c:v>-4161</c:v>
                      </c:pt>
                      <c:pt idx="3">
                        <c:v>-4029</c:v>
                      </c:pt>
                      <c:pt idx="4">
                        <c:v>-3291</c:v>
                      </c:pt>
                      <c:pt idx="5">
                        <c:v>-2424.5</c:v>
                      </c:pt>
                      <c:pt idx="6">
                        <c:v>-813.5</c:v>
                      </c:pt>
                      <c:pt idx="7">
                        <c:v>-732</c:v>
                      </c:pt>
                      <c:pt idx="8">
                        <c:v>-723</c:v>
                      </c:pt>
                      <c:pt idx="9">
                        <c:v>-696.5</c:v>
                      </c:pt>
                      <c:pt idx="10">
                        <c:v>-622</c:v>
                      </c:pt>
                      <c:pt idx="11">
                        <c:v>-549.5</c:v>
                      </c:pt>
                      <c:pt idx="12">
                        <c:v>-92</c:v>
                      </c:pt>
                      <c:pt idx="13">
                        <c:v>0</c:v>
                      </c:pt>
                      <c:pt idx="14">
                        <c:v>71</c:v>
                      </c:pt>
                      <c:pt idx="15">
                        <c:v>87</c:v>
                      </c:pt>
                      <c:pt idx="16">
                        <c:v>87</c:v>
                      </c:pt>
                      <c:pt idx="17">
                        <c:v>794.5</c:v>
                      </c:pt>
                      <c:pt idx="18">
                        <c:v>898.5</c:v>
                      </c:pt>
                      <c:pt idx="19">
                        <c:v>915</c:v>
                      </c:pt>
                      <c:pt idx="20">
                        <c:v>1103</c:v>
                      </c:pt>
                      <c:pt idx="21">
                        <c:v>2625.5</c:v>
                      </c:pt>
                      <c:pt idx="22">
                        <c:v>4308</c:v>
                      </c:pt>
                      <c:pt idx="23">
                        <c:v>4333.5</c:v>
                      </c:pt>
                      <c:pt idx="24">
                        <c:v>5005</c:v>
                      </c:pt>
                      <c:pt idx="25">
                        <c:v>5075.5</c:v>
                      </c:pt>
                      <c:pt idx="26">
                        <c:v>5996.5</c:v>
                      </c:pt>
                      <c:pt idx="27">
                        <c:v>6695.5</c:v>
                      </c:pt>
                      <c:pt idx="28">
                        <c:v>6709</c:v>
                      </c:pt>
                      <c:pt idx="29">
                        <c:v>6713.5</c:v>
                      </c:pt>
                      <c:pt idx="30">
                        <c:v>6738.5</c:v>
                      </c:pt>
                      <c:pt idx="31">
                        <c:v>7510</c:v>
                      </c:pt>
                      <c:pt idx="32">
                        <c:v>7557.5</c:v>
                      </c:pt>
                      <c:pt idx="33">
                        <c:v>8313</c:v>
                      </c:pt>
                      <c:pt idx="34">
                        <c:v>8313</c:v>
                      </c:pt>
                      <c:pt idx="35">
                        <c:v>8313</c:v>
                      </c:pt>
                      <c:pt idx="36">
                        <c:v>9256.5</c:v>
                      </c:pt>
                      <c:pt idx="37">
                        <c:v>9295</c:v>
                      </c:pt>
                      <c:pt idx="38">
                        <c:v>9967</c:v>
                      </c:pt>
                      <c:pt idx="39">
                        <c:v>11648</c:v>
                      </c:pt>
                      <c:pt idx="40">
                        <c:v>11648</c:v>
                      </c:pt>
                      <c:pt idx="41">
                        <c:v>11743</c:v>
                      </c:pt>
                      <c:pt idx="42">
                        <c:v>11743</c:v>
                      </c:pt>
                      <c:pt idx="43">
                        <c:v>11743</c:v>
                      </c:pt>
                      <c:pt idx="44">
                        <c:v>11743</c:v>
                      </c:pt>
                      <c:pt idx="45">
                        <c:v>11806.5</c:v>
                      </c:pt>
                      <c:pt idx="46">
                        <c:v>11806.5</c:v>
                      </c:pt>
                      <c:pt idx="47">
                        <c:v>11806.5</c:v>
                      </c:pt>
                      <c:pt idx="48">
                        <c:v>11806.5</c:v>
                      </c:pt>
                      <c:pt idx="49">
                        <c:v>12315.5</c:v>
                      </c:pt>
                      <c:pt idx="50">
                        <c:v>12315.5</c:v>
                      </c:pt>
                      <c:pt idx="51">
                        <c:v>12315.5</c:v>
                      </c:pt>
                      <c:pt idx="52">
                        <c:v>12315.5</c:v>
                      </c:pt>
                      <c:pt idx="53">
                        <c:v>12324.5</c:v>
                      </c:pt>
                      <c:pt idx="54">
                        <c:v>12324.5</c:v>
                      </c:pt>
                      <c:pt idx="55">
                        <c:v>13302</c:v>
                      </c:pt>
                      <c:pt idx="56">
                        <c:v>13458</c:v>
                      </c:pt>
                      <c:pt idx="57">
                        <c:v>13458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Active!$N$21:$N$995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7048-40FC-BBF1-D243479E89DD}"/>
                  </c:ext>
                </c:extLst>
              </c15:ser>
            </c15:filteredScatterSeries>
          </c:ext>
        </c:extLst>
      </c:scatterChart>
      <c:valAx>
        <c:axId val="69507668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7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08633727619112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9572A4-7C87-4627-1A21-674A78E8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26</xdr:col>
      <xdr:colOff>657225</xdr:colOff>
      <xdr:row>18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AC82086-E0B8-4274-BCE6-7C47F1C08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960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06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677" TargetMode="External"/><Relationship Id="rId19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8.8554687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2.95" customHeight="1" x14ac:dyDescent="0.2">
      <c r="A2" t="s">
        <v>26</v>
      </c>
      <c r="B2" t="s">
        <v>37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30</v>
      </c>
      <c r="D4" s="9" t="s">
        <v>30</v>
      </c>
    </row>
    <row r="5" spans="1:6" ht="12.95" customHeight="1" thickTop="1" x14ac:dyDescent="0.2">
      <c r="A5" s="15" t="s">
        <v>38</v>
      </c>
      <c r="B5" s="16"/>
      <c r="C5" s="17">
        <v>-9.5</v>
      </c>
      <c r="D5" s="16" t="s">
        <v>39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 s="71">
        <v>53644.737699999998</v>
      </c>
      <c r="D7" s="71" t="s">
        <v>217</v>
      </c>
    </row>
    <row r="8" spans="1:6" ht="12.95" customHeight="1" x14ac:dyDescent="0.2">
      <c r="A8" t="s">
        <v>6</v>
      </c>
      <c r="C8" s="71">
        <v>0.44079000000000002</v>
      </c>
      <c r="D8" s="71" t="s">
        <v>217</v>
      </c>
    </row>
    <row r="9" spans="1:6" ht="12.95" customHeight="1" x14ac:dyDescent="0.2">
      <c r="A9" s="30" t="s">
        <v>44</v>
      </c>
      <c r="B9" s="31">
        <v>22</v>
      </c>
      <c r="C9" s="29" t="str">
        <f>"F"&amp;B9</f>
        <v>F22</v>
      </c>
      <c r="D9" s="27" t="str">
        <f>"G"&amp;B9</f>
        <v>G22</v>
      </c>
    </row>
    <row r="10" spans="1:6" ht="12.95" customHeight="1" thickBot="1" x14ac:dyDescent="0.25">
      <c r="A10" s="16"/>
      <c r="B10" s="16"/>
      <c r="C10" s="4" t="s">
        <v>22</v>
      </c>
      <c r="D10" s="4" t="s">
        <v>23</v>
      </c>
      <c r="E10" s="16"/>
    </row>
    <row r="11" spans="1:6" ht="12.95" customHeight="1" x14ac:dyDescent="0.2">
      <c r="A11" s="16" t="s">
        <v>18</v>
      </c>
      <c r="B11" s="16"/>
      <c r="C11" s="28">
        <f ca="1">INTERCEPT(INDIRECT($D$9):G988,INDIRECT($C$9):F988)</f>
        <v>-3.0110963405802693E-3</v>
      </c>
      <c r="D11" s="3"/>
      <c r="E11" s="16"/>
    </row>
    <row r="12" spans="1:6" ht="12.95" customHeight="1" x14ac:dyDescent="0.2">
      <c r="A12" s="16" t="s">
        <v>19</v>
      </c>
      <c r="B12" s="16"/>
      <c r="C12" s="28">
        <f ca="1">SLOPE(INDIRECT($D$9):G988,INDIRECT($C$9):F988)</f>
        <v>-6.3019531401116301E-7</v>
      </c>
      <c r="D12" s="3"/>
      <c r="E12" s="72" t="s">
        <v>214</v>
      </c>
      <c r="F12" s="73" t="s">
        <v>218</v>
      </c>
    </row>
    <row r="13" spans="1:6" ht="12.95" customHeight="1" x14ac:dyDescent="0.2">
      <c r="A13" s="16" t="s">
        <v>21</v>
      </c>
      <c r="B13" s="16"/>
      <c r="C13" s="3" t="s">
        <v>16</v>
      </c>
      <c r="E13" s="77" t="s">
        <v>46</v>
      </c>
      <c r="F13" s="74">
        <v>1</v>
      </c>
    </row>
    <row r="14" spans="1:6" ht="12.95" customHeight="1" x14ac:dyDescent="0.2">
      <c r="A14" s="16"/>
      <c r="B14" s="16"/>
      <c r="C14" s="16"/>
      <c r="E14" s="77" t="s">
        <v>40</v>
      </c>
      <c r="F14" s="75">
        <f ca="1">NOW()+15018.5+$C$5/24</f>
        <v>60507.674031712959</v>
      </c>
    </row>
    <row r="15" spans="1:6" ht="12.95" customHeight="1" x14ac:dyDescent="0.2">
      <c r="A15" s="18" t="s">
        <v>20</v>
      </c>
      <c r="B15" s="16"/>
      <c r="C15" s="19">
        <f ca="1">(C7+C11)+(C8+C12)*INT(MAX(F21:F3529))</f>
        <v>59576.878027735118</v>
      </c>
      <c r="E15" s="77" t="s">
        <v>47</v>
      </c>
      <c r="F15" s="75">
        <f ca="1">ROUND(2*($F$14-$C$7)/$C$8,0)/2+$F$13</f>
        <v>15570.5</v>
      </c>
    </row>
    <row r="16" spans="1:6" ht="12.95" customHeight="1" x14ac:dyDescent="0.2">
      <c r="A16" s="21" t="s">
        <v>7</v>
      </c>
      <c r="B16" s="16"/>
      <c r="C16" s="22">
        <f ca="1">+C8+C12</f>
        <v>0.44078936980468603</v>
      </c>
      <c r="E16" s="77" t="s">
        <v>41</v>
      </c>
      <c r="F16" s="75">
        <f ca="1">ROUND(2*($F$14-$C$15)/$C$16,0)/2+$F$13</f>
        <v>2112.5</v>
      </c>
    </row>
    <row r="17" spans="1:17" ht="12.95" customHeight="1" thickBot="1" x14ac:dyDescent="0.25">
      <c r="A17" s="20" t="s">
        <v>31</v>
      </c>
      <c r="B17" s="16"/>
      <c r="C17" s="16">
        <f>COUNT(C21:C2187)</f>
        <v>58</v>
      </c>
      <c r="E17" s="77" t="s">
        <v>215</v>
      </c>
      <c r="F17" s="75">
        <f ca="1">+$C$15+$C$16*$F$16-15018.5-$C$5/24</f>
        <v>45489.941404780853</v>
      </c>
    </row>
    <row r="18" spans="1:17" ht="12.95" customHeight="1" thickTop="1" thickBot="1" x14ac:dyDescent="0.25">
      <c r="A18" s="21" t="s">
        <v>8</v>
      </c>
      <c r="B18" s="16"/>
      <c r="C18" s="24">
        <f ca="1">+C15</f>
        <v>59576.878027735118</v>
      </c>
      <c r="D18" s="25">
        <f ca="1">+C16</f>
        <v>0.44078936980468603</v>
      </c>
      <c r="E18" s="78" t="s">
        <v>216</v>
      </c>
      <c r="F18" s="76">
        <f ca="1">+($C$15+$C$16*$F$16)-($C$16/2)-15018.5-$C$5/24</f>
        <v>45489.721010095949</v>
      </c>
    </row>
    <row r="19" spans="1:17" ht="12.95" customHeight="1" thickTop="1" x14ac:dyDescent="0.2">
      <c r="E19" s="20"/>
      <c r="F19" s="23"/>
    </row>
    <row r="20" spans="1:17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ht="12.95" customHeight="1" x14ac:dyDescent="0.2">
      <c r="A21" s="51" t="s">
        <v>67</v>
      </c>
      <c r="B21" s="53" t="s">
        <v>34</v>
      </c>
      <c r="C21" s="52">
        <v>51472.08</v>
      </c>
      <c r="D21" s="52" t="s">
        <v>60</v>
      </c>
      <c r="E21" s="34">
        <f>+(C21-C$7)/C$8</f>
        <v>-4929.0085981986795</v>
      </c>
      <c r="F21">
        <f>ROUND(2*E21,0)/2</f>
        <v>-4929</v>
      </c>
      <c r="G21">
        <f>+C21-(C$7+F21*C$8)</f>
        <v>-3.789999995206017E-3</v>
      </c>
      <c r="I21">
        <f>+G21</f>
        <v>-3.789999995206017E-3</v>
      </c>
      <c r="O21">
        <f ca="1">+C$11+C$12*$F21</f>
        <v>9.5136362180753276E-5</v>
      </c>
      <c r="Q21" s="2">
        <f>+C21-15018.5</f>
        <v>36453.58</v>
      </c>
    </row>
    <row r="22" spans="1:17" ht="12.95" customHeight="1" x14ac:dyDescent="0.2">
      <c r="A22" s="51" t="s">
        <v>67</v>
      </c>
      <c r="B22" s="53" t="s">
        <v>43</v>
      </c>
      <c r="C22" s="52">
        <v>51541.946000000004</v>
      </c>
      <c r="D22" s="52" t="s">
        <v>60</v>
      </c>
      <c r="E22" s="34">
        <f>+(C22-C$7)/C$8</f>
        <v>-4770.5068173052796</v>
      </c>
      <c r="F22">
        <f>ROUND(2*E22,0)/2</f>
        <v>-4770.5</v>
      </c>
      <c r="G22">
        <f>+C22-(C$7+F22*C$8)</f>
        <v>-3.0049999913899228E-3</v>
      </c>
      <c r="I22">
        <f>+G22</f>
        <v>-3.0049999913899228E-3</v>
      </c>
      <c r="O22">
        <f ca="1">+C$11+C$12*$F22</f>
        <v>-4.7495950900159657E-6</v>
      </c>
      <c r="Q22" s="2">
        <f>+C22-15018.5</f>
        <v>36523.446000000004</v>
      </c>
    </row>
    <row r="23" spans="1:17" ht="12.95" customHeight="1" x14ac:dyDescent="0.2">
      <c r="A23" s="51" t="s">
        <v>78</v>
      </c>
      <c r="B23" s="53" t="s">
        <v>34</v>
      </c>
      <c r="C23" s="52">
        <v>51810.614999999998</v>
      </c>
      <c r="D23" s="52" t="s">
        <v>60</v>
      </c>
      <c r="E23" s="34">
        <f>+(C23-C$7)/C$8</f>
        <v>-4160.9898137435057</v>
      </c>
      <c r="F23">
        <f>ROUND(2*E23,0)/2</f>
        <v>-4161</v>
      </c>
      <c r="G23">
        <f>+C23-(C$7+F23*C$8)</f>
        <v>4.4899999993504025E-3</v>
      </c>
      <c r="I23">
        <f>+G23</f>
        <v>4.4899999993504025E-3</v>
      </c>
      <c r="O23">
        <f ca="1">+C$11+C$12*$F23</f>
        <v>-3.8885363897982021E-4</v>
      </c>
      <c r="Q23" s="2">
        <f>+C23-15018.5</f>
        <v>36792.114999999998</v>
      </c>
    </row>
    <row r="24" spans="1:17" ht="12.95" customHeight="1" x14ac:dyDescent="0.2">
      <c r="A24" t="s">
        <v>32</v>
      </c>
      <c r="C24" s="14">
        <v>51868.79</v>
      </c>
      <c r="D24" s="10" t="s">
        <v>16</v>
      </c>
      <c r="E24">
        <f>+(C24-C$7)/C$8</f>
        <v>-4029.0108668526891</v>
      </c>
      <c r="F24">
        <f>ROUND(2*E24,0)/2</f>
        <v>-4029</v>
      </c>
      <c r="G24" s="71">
        <f>+C24-(C$7+F24*C$8)</f>
        <v>-4.7899999990477227E-3</v>
      </c>
      <c r="H24" s="71"/>
      <c r="I24" s="71">
        <v>-4.7899999990477227E-3</v>
      </c>
      <c r="O24">
        <f ca="1">+C$11+C$12*$F24</f>
        <v>-4.7203942042929343E-4</v>
      </c>
      <c r="Q24" s="2">
        <f>+C24-15018.5</f>
        <v>36850.29</v>
      </c>
    </row>
    <row r="25" spans="1:17" ht="12.95" customHeight="1" x14ac:dyDescent="0.2">
      <c r="A25" s="51" t="s">
        <v>82</v>
      </c>
      <c r="B25" s="53" t="s">
        <v>34</v>
      </c>
      <c r="C25" s="52">
        <v>52194.084999999999</v>
      </c>
      <c r="D25" s="52" t="s">
        <v>60</v>
      </c>
      <c r="E25" s="34">
        <f>+(C25-C$7)/C$8</f>
        <v>-3291.0290614578339</v>
      </c>
      <c r="F25">
        <f>ROUND(2*E25,0)/2</f>
        <v>-3291</v>
      </c>
      <c r="G25">
        <f>+C25-(C$7+F25*C$8)</f>
        <v>-1.2810000000172295E-2</v>
      </c>
      <c r="I25">
        <f>+G25</f>
        <v>-1.2810000000172295E-2</v>
      </c>
      <c r="O25">
        <f ca="1">+C$11+C$12*$F25</f>
        <v>-9.3712356216953162E-4</v>
      </c>
      <c r="Q25" s="2">
        <f>+C25-15018.5</f>
        <v>37175.584999999999</v>
      </c>
    </row>
    <row r="26" spans="1:17" ht="12.95" customHeight="1" x14ac:dyDescent="0.2">
      <c r="A26" s="51" t="s">
        <v>86</v>
      </c>
      <c r="B26" s="53" t="s">
        <v>43</v>
      </c>
      <c r="C26" s="52">
        <v>52576.04</v>
      </c>
      <c r="D26" s="52" t="s">
        <v>60</v>
      </c>
      <c r="E26" s="34">
        <f>+(C26-C$7)/C$8</f>
        <v>-2424.505319993641</v>
      </c>
      <c r="F26">
        <f>ROUND(2*E26,0)/2</f>
        <v>-2424.5</v>
      </c>
      <c r="G26">
        <f>+C26-(C$7+F26*C$8)</f>
        <v>-2.34499999351101E-3</v>
      </c>
      <c r="I26">
        <f>+G26</f>
        <v>-2.34499999351101E-3</v>
      </c>
      <c r="O26">
        <f ca="1">+C$11+C$12*$F26</f>
        <v>-1.4831878017602046E-3</v>
      </c>
      <c r="Q26" s="2">
        <f>+C26-15018.5</f>
        <v>37557.54</v>
      </c>
    </row>
    <row r="27" spans="1:17" x14ac:dyDescent="0.2">
      <c r="A27" s="51" t="s">
        <v>90</v>
      </c>
      <c r="B27" s="53" t="s">
        <v>43</v>
      </c>
      <c r="C27" s="52">
        <v>53286.154000000002</v>
      </c>
      <c r="D27" s="52" t="s">
        <v>60</v>
      </c>
      <c r="E27" s="34">
        <f>+(C27-C$7)/C$8</f>
        <v>-813.50234805688785</v>
      </c>
      <c r="F27">
        <f>ROUND(2*E27,0)/2</f>
        <v>-813.5</v>
      </c>
      <c r="G27">
        <f>+C27-(C$7+F27*C$8)</f>
        <v>-1.0349999938625842E-3</v>
      </c>
      <c r="I27">
        <f>+G27</f>
        <v>-1.0349999938625842E-3</v>
      </c>
      <c r="O27">
        <f ca="1">+C$11+C$12*$F27</f>
        <v>-2.4984324526321883E-3</v>
      </c>
      <c r="Q27" s="2">
        <f>+C27-15018.5</f>
        <v>38267.654000000002</v>
      </c>
    </row>
    <row r="28" spans="1:17" x14ac:dyDescent="0.2">
      <c r="A28" s="51" t="s">
        <v>90</v>
      </c>
      <c r="B28" s="53" t="s">
        <v>34</v>
      </c>
      <c r="C28" s="52">
        <v>53322.076999999997</v>
      </c>
      <c r="D28" s="52" t="s">
        <v>60</v>
      </c>
      <c r="E28" s="34">
        <f>+(C28-C$7)/C$8</f>
        <v>-732.00549014269916</v>
      </c>
      <c r="F28">
        <f>ROUND(2*E28,0)/2</f>
        <v>-732</v>
      </c>
      <c r="G28">
        <f>+C28-(C$7+F28*C$8)</f>
        <v>-2.4199999970733188E-3</v>
      </c>
      <c r="I28">
        <f>+G28</f>
        <v>-2.4199999970733188E-3</v>
      </c>
      <c r="O28">
        <f ca="1">+C$11+C$12*$F28</f>
        <v>-2.549793370724098E-3</v>
      </c>
      <c r="Q28" s="2">
        <f>+C28-15018.5</f>
        <v>38303.576999999997</v>
      </c>
    </row>
    <row r="29" spans="1:17" x14ac:dyDescent="0.2">
      <c r="A29" s="51" t="s">
        <v>90</v>
      </c>
      <c r="B29" s="53" t="s">
        <v>34</v>
      </c>
      <c r="C29" s="52">
        <v>53326.046999999999</v>
      </c>
      <c r="D29" s="52" t="s">
        <v>60</v>
      </c>
      <c r="E29" s="34">
        <f>+(C29-C$7)/C$8</f>
        <v>-722.99893373261455</v>
      </c>
      <c r="F29">
        <f>ROUND(2*E29,0)/2</f>
        <v>-723</v>
      </c>
      <c r="G29">
        <f>+C29-(C$7+F29*C$8)</f>
        <v>4.6999999904073775E-4</v>
      </c>
      <c r="I29">
        <f>+G29</f>
        <v>4.6999999904073775E-4</v>
      </c>
      <c r="O29">
        <f ca="1">+C$11+C$12*$F29</f>
        <v>-2.5554651285501985E-3</v>
      </c>
      <c r="Q29" s="2">
        <f>+C29-15018.5</f>
        <v>38307.546999999999</v>
      </c>
    </row>
    <row r="30" spans="1:17" x14ac:dyDescent="0.2">
      <c r="A30" s="35" t="s">
        <v>45</v>
      </c>
      <c r="B30" s="32" t="s">
        <v>43</v>
      </c>
      <c r="C30" s="33">
        <v>53337.7258</v>
      </c>
      <c r="D30" s="33">
        <v>1E-3</v>
      </c>
      <c r="E30" s="34">
        <f>+(C30-C$7)/C$8</f>
        <v>-696.50377730891739</v>
      </c>
      <c r="F30">
        <f>ROUND(2*E30,0)/2</f>
        <v>-696.5</v>
      </c>
      <c r="G30">
        <f>+C30-(C$7+F30*C$8)</f>
        <v>-1.6649999961373396E-3</v>
      </c>
      <c r="K30">
        <f>+G30</f>
        <v>-1.6649999961373396E-3</v>
      </c>
      <c r="O30">
        <f ca="1">+C$11+C$12*$F30</f>
        <v>-2.5721653043714941E-3</v>
      </c>
      <c r="Q30" s="2">
        <f>+C30-15018.5</f>
        <v>38319.2258</v>
      </c>
    </row>
    <row r="31" spans="1:17" x14ac:dyDescent="0.2">
      <c r="A31" s="11" t="s">
        <v>33</v>
      </c>
      <c r="B31" s="12" t="s">
        <v>34</v>
      </c>
      <c r="C31" s="13">
        <v>53370.563399999999</v>
      </c>
      <c r="D31" s="13">
        <v>2.9999999999999997E-4</v>
      </c>
      <c r="E31" s="34">
        <f>+(C31-C$7)/C$8</f>
        <v>-622.00662446969932</v>
      </c>
      <c r="F31">
        <f>ROUND(2*E31,0)/2</f>
        <v>-622</v>
      </c>
      <c r="G31">
        <f>+C31-(C$7+F31*C$8)</f>
        <v>-2.9199999989941716E-3</v>
      </c>
      <c r="K31">
        <f>+G31</f>
        <v>-2.9199999989941716E-3</v>
      </c>
      <c r="O31">
        <f ca="1">+C$11+C$12*$F31</f>
        <v>-2.6191148552653261E-3</v>
      </c>
      <c r="Q31" s="2">
        <f>+C31-15018.5</f>
        <v>38352.063399999999</v>
      </c>
    </row>
    <row r="32" spans="1:17" x14ac:dyDescent="0.2">
      <c r="A32" s="11" t="s">
        <v>35</v>
      </c>
      <c r="B32" s="12" t="s">
        <v>34</v>
      </c>
      <c r="C32" s="13">
        <v>53402.520700000001</v>
      </c>
      <c r="D32" s="13">
        <v>2.9999999999999997E-4</v>
      </c>
      <c r="E32" s="34">
        <f>+(C32-C$7)/C$8</f>
        <v>-549.50656775334494</v>
      </c>
      <c r="F32">
        <f>ROUND(2*E32,0)/2</f>
        <v>-549.5</v>
      </c>
      <c r="G32">
        <f>+C32-(C$7+F32*C$8)</f>
        <v>-2.8949999978067353E-3</v>
      </c>
      <c r="K32">
        <f>+G32</f>
        <v>-2.8949999978067353E-3</v>
      </c>
      <c r="O32">
        <f ca="1">+C$11+C$12*$F32</f>
        <v>-2.6648040155311352E-3</v>
      </c>
      <c r="Q32" s="2">
        <f>+C32-15018.5</f>
        <v>38384.020700000001</v>
      </c>
    </row>
    <row r="33" spans="1:17" x14ac:dyDescent="0.2">
      <c r="A33" s="51" t="s">
        <v>120</v>
      </c>
      <c r="B33" s="53" t="s">
        <v>34</v>
      </c>
      <c r="C33" s="52">
        <v>53604.182800000002</v>
      </c>
      <c r="D33" s="52" t="s">
        <v>60</v>
      </c>
      <c r="E33" s="34">
        <f>+(C33-C$7)/C$8</f>
        <v>-92.005036411886707</v>
      </c>
      <c r="F33">
        <f>ROUND(2*E33,0)/2</f>
        <v>-92</v>
      </c>
      <c r="G33">
        <f>+C33-(C$7+F33*C$8)</f>
        <v>-2.2199999948497862E-3</v>
      </c>
      <c r="I33">
        <f>+G33</f>
        <v>-2.2199999948497862E-3</v>
      </c>
      <c r="O33">
        <f ca="1">+C$11+C$12*$F33</f>
        <v>-2.9531183716912423E-3</v>
      </c>
      <c r="Q33" s="2">
        <f>+C33-15018.5</f>
        <v>38585.682800000002</v>
      </c>
    </row>
    <row r="34" spans="1:17" x14ac:dyDescent="0.2">
      <c r="A34" t="str">
        <f>$D$7</f>
        <v>VSX</v>
      </c>
      <c r="B34" s="3"/>
      <c r="C34" s="10">
        <f>$C$7</f>
        <v>53644.737699999998</v>
      </c>
      <c r="D34" s="10"/>
      <c r="E34" s="34">
        <f>+(C34-C$7)/C$8</f>
        <v>0</v>
      </c>
      <c r="F34">
        <f>ROUND(2*E34,0)/2</f>
        <v>0</v>
      </c>
      <c r="G34">
        <f>+C34-(C$7+F34*C$8)</f>
        <v>0</v>
      </c>
      <c r="K34">
        <f>+G34</f>
        <v>0</v>
      </c>
      <c r="O34">
        <f ca="1">+C$11+C$12*$F34</f>
        <v>-3.0110963405802693E-3</v>
      </c>
      <c r="Q34" s="2">
        <f>+C34-15018.5</f>
        <v>38626.237699999998</v>
      </c>
    </row>
    <row r="35" spans="1:17" x14ac:dyDescent="0.2">
      <c r="A35" s="51" t="s">
        <v>120</v>
      </c>
      <c r="B35" s="53" t="s">
        <v>34</v>
      </c>
      <c r="C35" s="52">
        <v>53676.030700000003</v>
      </c>
      <c r="D35" s="52" t="s">
        <v>60</v>
      </c>
      <c r="E35" s="34">
        <f>+(C35-C$7)/C$8</f>
        <v>70.992989859128201</v>
      </c>
      <c r="F35">
        <f>ROUND(2*E35,0)/2</f>
        <v>71</v>
      </c>
      <c r="G35">
        <f>+C35-(C$7+F35*C$8)</f>
        <v>-3.0899999983375892E-3</v>
      </c>
      <c r="I35">
        <f>+G35</f>
        <v>-3.0899999983375892E-3</v>
      </c>
      <c r="O35">
        <f ca="1">+C$11+C$12*$F35</f>
        <v>-3.055840207875062E-3</v>
      </c>
      <c r="Q35" s="2">
        <f>+C35-15018.5</f>
        <v>38657.530700000003</v>
      </c>
    </row>
    <row r="36" spans="1:17" x14ac:dyDescent="0.2">
      <c r="A36" s="51" t="s">
        <v>120</v>
      </c>
      <c r="B36" s="53" t="s">
        <v>34</v>
      </c>
      <c r="C36" s="52">
        <v>53683.082999999999</v>
      </c>
      <c r="D36" s="52" t="s">
        <v>60</v>
      </c>
      <c r="E36" s="34">
        <f>+(C36-C$7)/C$8</f>
        <v>86.992218516755955</v>
      </c>
      <c r="F36">
        <f>ROUND(2*E36,0)/2</f>
        <v>87</v>
      </c>
      <c r="G36">
        <f>+C36-(C$7+F36*C$8)</f>
        <v>-3.4299999970244244E-3</v>
      </c>
      <c r="I36">
        <f>+G36</f>
        <v>-3.4299999970244244E-3</v>
      </c>
      <c r="O36">
        <f ca="1">+C$11+C$12*$F36</f>
        <v>-3.0659233328992406E-3</v>
      </c>
      <c r="Q36" s="2">
        <f>+C36-15018.5</f>
        <v>38664.582999999999</v>
      </c>
    </row>
    <row r="37" spans="1:17" x14ac:dyDescent="0.2">
      <c r="A37" s="51" t="s">
        <v>120</v>
      </c>
      <c r="B37" s="53" t="s">
        <v>34</v>
      </c>
      <c r="C37" s="52">
        <v>53683.083299999998</v>
      </c>
      <c r="D37" s="52" t="s">
        <v>60</v>
      </c>
      <c r="E37" s="34">
        <f>+(C37-C$7)/C$8</f>
        <v>86.992899112957545</v>
      </c>
      <c r="F37">
        <f>ROUND(2*E37,0)/2</f>
        <v>87</v>
      </c>
      <c r="G37">
        <f>+C37-(C$7+F37*C$8)</f>
        <v>-3.1299999973271042E-3</v>
      </c>
      <c r="I37">
        <f>+G37</f>
        <v>-3.1299999973271042E-3</v>
      </c>
      <c r="O37">
        <f ca="1">+C$11+C$12*$F37</f>
        <v>-3.0659233328992406E-3</v>
      </c>
      <c r="Q37" s="2">
        <f>+C37-15018.5</f>
        <v>38664.583299999998</v>
      </c>
    </row>
    <row r="38" spans="1:17" x14ac:dyDescent="0.2">
      <c r="A38" s="26" t="s">
        <v>42</v>
      </c>
      <c r="B38" s="12" t="s">
        <v>43</v>
      </c>
      <c r="C38" s="13">
        <v>53994.941899999976</v>
      </c>
      <c r="D38" s="13">
        <v>2.0000000000000001E-4</v>
      </c>
      <c r="E38" s="34">
        <f>+(C38-C$7)/C$8</f>
        <v>794.49216180035455</v>
      </c>
      <c r="F38">
        <f>ROUND(2*E38,0)/2</f>
        <v>794.5</v>
      </c>
      <c r="G38">
        <f>+C38-(C$7+F38*C$8)</f>
        <v>-3.4550000200397335E-3</v>
      </c>
      <c r="K38">
        <f>+G38</f>
        <v>-3.4550000200397335E-3</v>
      </c>
      <c r="O38">
        <f ca="1">+C$11+C$12*$F38</f>
        <v>-3.5117865175621384E-3</v>
      </c>
      <c r="Q38" s="2">
        <f>+C38-15018.5</f>
        <v>38976.441899999976</v>
      </c>
    </row>
    <row r="39" spans="1:17" x14ac:dyDescent="0.2">
      <c r="A39" s="35" t="s">
        <v>45</v>
      </c>
      <c r="B39" s="32" t="s">
        <v>43</v>
      </c>
      <c r="C39" s="33">
        <v>54040.783199999998</v>
      </c>
      <c r="D39" s="33">
        <v>2.8999999999999998E-3</v>
      </c>
      <c r="E39" s="34">
        <f>+(C39-C$7)/C$8</f>
        <v>898.4902107579577</v>
      </c>
      <c r="F39">
        <f>ROUND(2*E39,0)/2</f>
        <v>898.5</v>
      </c>
      <c r="G39">
        <f>+C39-(C$7+F39*C$8)</f>
        <v>-4.3149999983143061E-3</v>
      </c>
      <c r="K39">
        <f>+G39</f>
        <v>-4.3149999983143061E-3</v>
      </c>
      <c r="O39">
        <f ca="1">+C$11+C$12*$F39</f>
        <v>-3.5773268302192992E-3</v>
      </c>
      <c r="Q39" s="2">
        <f>+C39-15018.5</f>
        <v>39022.283199999998</v>
      </c>
    </row>
    <row r="40" spans="1:17" x14ac:dyDescent="0.2">
      <c r="A40" s="51" t="s">
        <v>144</v>
      </c>
      <c r="B40" s="53" t="s">
        <v>34</v>
      </c>
      <c r="C40" s="52">
        <v>54048.0599</v>
      </c>
      <c r="D40" s="52" t="s">
        <v>60</v>
      </c>
      <c r="E40" s="34">
        <f>+(C40-C$7)/C$8</f>
        <v>914.9985253749004</v>
      </c>
      <c r="F40">
        <f>ROUND(2*E40,0)/2</f>
        <v>915</v>
      </c>
      <c r="G40">
        <f>+C40-(C$7+F40*C$8)</f>
        <v>-6.4999999449355528E-4</v>
      </c>
      <c r="I40">
        <f>+G40</f>
        <v>-6.4999999449355528E-4</v>
      </c>
      <c r="O40">
        <f ca="1">+C$11+C$12*$F40</f>
        <v>-3.5877250529004834E-3</v>
      </c>
      <c r="Q40" s="2">
        <f>+C40-15018.5</f>
        <v>39029.5599</v>
      </c>
    </row>
    <row r="41" spans="1:17" x14ac:dyDescent="0.2">
      <c r="A41" s="51" t="s">
        <v>150</v>
      </c>
      <c r="B41" s="53" t="s">
        <v>34</v>
      </c>
      <c r="C41" s="52">
        <v>54130.925600000002</v>
      </c>
      <c r="D41" s="52" t="s">
        <v>60</v>
      </c>
      <c r="E41" s="34">
        <f>+(C41-C$7)/C$8</f>
        <v>1102.9921277706037</v>
      </c>
      <c r="F41">
        <f>ROUND(2*E41,0)/2</f>
        <v>1103</v>
      </c>
      <c r="G41">
        <f>+C41-(C$7+F41*C$8)</f>
        <v>-3.4699999960139394E-3</v>
      </c>
      <c r="I41">
        <f>+G41</f>
        <v>-3.4699999960139394E-3</v>
      </c>
      <c r="O41">
        <f ca="1">+C$11+C$12*$F41</f>
        <v>-3.7062017719345823E-3</v>
      </c>
      <c r="Q41" s="2">
        <f>+C41-15018.5</f>
        <v>39112.425600000002</v>
      </c>
    </row>
    <row r="42" spans="1:17" x14ac:dyDescent="0.2">
      <c r="A42" s="51" t="s">
        <v>155</v>
      </c>
      <c r="B42" s="53" t="s">
        <v>43</v>
      </c>
      <c r="C42" s="52">
        <v>54802.027900000001</v>
      </c>
      <c r="D42" s="52" t="s">
        <v>60</v>
      </c>
      <c r="E42" s="34">
        <f>+(C42-C$7)/C$8</f>
        <v>2625.491050159947</v>
      </c>
      <c r="F42">
        <f>ROUND(2*E42,0)/2</f>
        <v>2625.5</v>
      </c>
      <c r="G42">
        <f>+C42-(C$7+F42*C$8)</f>
        <v>-3.9449999967473559E-3</v>
      </c>
      <c r="I42">
        <f>+G42</f>
        <v>-3.9449999967473559E-3</v>
      </c>
      <c r="O42">
        <f ca="1">+C$11+C$12*$F42</f>
        <v>-4.6656741375165778E-3</v>
      </c>
      <c r="Q42" s="2">
        <f>+C42-15018.5</f>
        <v>39783.527900000001</v>
      </c>
    </row>
    <row r="43" spans="1:17" x14ac:dyDescent="0.2">
      <c r="A43" s="54" t="s">
        <v>48</v>
      </c>
      <c r="B43" s="55" t="s">
        <v>34</v>
      </c>
      <c r="C43" s="56">
        <v>55543.654600000002</v>
      </c>
      <c r="D43" s="56">
        <v>5.9999999999999995E-4</v>
      </c>
      <c r="E43" s="34">
        <f>+(C43-C$7)/C$8</f>
        <v>4307.9854352412794</v>
      </c>
      <c r="F43">
        <f>ROUND(2*E43,0)/2</f>
        <v>4308</v>
      </c>
      <c r="G43">
        <f>+C43-(C$7+F43*C$8)</f>
        <v>-6.4199999978882261E-3</v>
      </c>
      <c r="K43">
        <f>+G43</f>
        <v>-6.4199999978882261E-3</v>
      </c>
      <c r="O43">
        <f ca="1">+C$11+C$12*$F43</f>
        <v>-5.725977753340359E-3</v>
      </c>
      <c r="Q43" s="2">
        <f>+C43-15018.5</f>
        <v>40525.154600000002</v>
      </c>
    </row>
    <row r="44" spans="1:17" x14ac:dyDescent="0.2">
      <c r="A44" s="51" t="s">
        <v>165</v>
      </c>
      <c r="B44" s="53" t="s">
        <v>43</v>
      </c>
      <c r="C44" s="52">
        <v>55554.894099999998</v>
      </c>
      <c r="D44" s="52" t="s">
        <v>60</v>
      </c>
      <c r="E44" s="34">
        <f>+(C44-C$7)/C$8</f>
        <v>4333.4839719594356</v>
      </c>
      <c r="F44">
        <f>ROUND(2*E44,0)/2</f>
        <v>4333.5</v>
      </c>
      <c r="G44">
        <f>+C44-(C$7+F44*C$8)</f>
        <v>-7.0649999979650602E-3</v>
      </c>
      <c r="K44">
        <f>+G44</f>
        <v>-7.0649999979650602E-3</v>
      </c>
      <c r="O44">
        <f ca="1">+C$11+C$12*$F44</f>
        <v>-5.7420477338476442E-3</v>
      </c>
      <c r="Q44" s="2">
        <f>+C44-15018.5</f>
        <v>40536.394099999998</v>
      </c>
    </row>
    <row r="45" spans="1:17" x14ac:dyDescent="0.2">
      <c r="A45" s="36" t="s">
        <v>49</v>
      </c>
      <c r="B45" s="37" t="s">
        <v>34</v>
      </c>
      <c r="C45" s="36">
        <v>55850.885699999999</v>
      </c>
      <c r="D45" s="36">
        <v>5.0000000000000001E-4</v>
      </c>
      <c r="E45" s="34">
        <f>+(C45-C$7)/C$8</f>
        <v>5004.9865015086571</v>
      </c>
      <c r="F45">
        <f>ROUND(2*E45,0)/2</f>
        <v>5005</v>
      </c>
      <c r="G45">
        <f>+C45-(C$7+F45*C$8)</f>
        <v>-5.9499999988474883E-3</v>
      </c>
      <c r="K45">
        <f>+G45</f>
        <v>-5.9499999988474883E-3</v>
      </c>
      <c r="O45">
        <f ca="1">+C$11+C$12*$F45</f>
        <v>-6.1652238872061402E-3</v>
      </c>
      <c r="Q45" s="2">
        <f>+C45-15018.5</f>
        <v>40832.385699999999</v>
      </c>
    </row>
    <row r="46" spans="1:17" x14ac:dyDescent="0.2">
      <c r="A46" s="51" t="s">
        <v>175</v>
      </c>
      <c r="B46" s="53" t="s">
        <v>43</v>
      </c>
      <c r="C46" s="52">
        <v>55881.957999999999</v>
      </c>
      <c r="D46" s="52" t="s">
        <v>60</v>
      </c>
      <c r="E46" s="34">
        <f>+(C46-C$7)/C$8</f>
        <v>5075.4787994283006</v>
      </c>
      <c r="F46">
        <f>ROUND(2*E46,0)/2</f>
        <v>5075.5</v>
      </c>
      <c r="G46">
        <f>+C46-(C$7+F46*C$8)</f>
        <v>-9.3449999985750765E-3</v>
      </c>
      <c r="I46">
        <f>+G46</f>
        <v>-9.3449999985750765E-3</v>
      </c>
      <c r="O46">
        <f ca="1">+C$11+C$12*$F46</f>
        <v>-6.2096526568439277E-3</v>
      </c>
      <c r="Q46" s="2">
        <f>+C46-15018.5</f>
        <v>40863.457999999999</v>
      </c>
    </row>
    <row r="47" spans="1:17" x14ac:dyDescent="0.2">
      <c r="A47" s="51" t="s">
        <v>180</v>
      </c>
      <c r="B47" s="53" t="s">
        <v>43</v>
      </c>
      <c r="C47" s="52">
        <v>56287.928399999997</v>
      </c>
      <c r="D47" s="52" t="s">
        <v>60</v>
      </c>
      <c r="E47" s="34">
        <f>+(C47-C$7)/C$8</f>
        <v>5996.4851743460586</v>
      </c>
      <c r="F47">
        <f>ROUND(2*E47,0)/2</f>
        <v>5996.5</v>
      </c>
      <c r="G47">
        <f>+C47-(C$7+F47*C$8)</f>
        <v>-6.5350000004400499E-3</v>
      </c>
      <c r="I47">
        <f>+G47</f>
        <v>-6.5350000004400499E-3</v>
      </c>
      <c r="O47">
        <f ca="1">+C$11+C$12*$F47</f>
        <v>-6.7900625410482083E-3</v>
      </c>
      <c r="Q47" s="2">
        <f>+C47-15018.5</f>
        <v>41269.428399999997</v>
      </c>
    </row>
    <row r="48" spans="1:17" x14ac:dyDescent="0.2">
      <c r="A48" s="51" t="s">
        <v>185</v>
      </c>
      <c r="B48" s="53" t="s">
        <v>43</v>
      </c>
      <c r="C48" s="52">
        <v>56596.039599999996</v>
      </c>
      <c r="D48" s="52" t="s">
        <v>60</v>
      </c>
      <c r="E48" s="34">
        <f>+(C48-C$7)/C$8</f>
        <v>6695.4828830055094</v>
      </c>
      <c r="F48">
        <f>ROUND(2*E48,0)/2</f>
        <v>6695.5</v>
      </c>
      <c r="G48">
        <f>+C48-(C$7+F48*C$8)</f>
        <v>-7.5450000003911555E-3</v>
      </c>
      <c r="I48">
        <f>+G48</f>
        <v>-7.5450000003911555E-3</v>
      </c>
      <c r="O48">
        <f ca="1">+C$11+C$12*$F48</f>
        <v>-7.2305690655420111E-3</v>
      </c>
      <c r="Q48" s="2">
        <f>+C48-15018.5</f>
        <v>41577.539599999996</v>
      </c>
    </row>
    <row r="49" spans="1:17" x14ac:dyDescent="0.2">
      <c r="A49" s="51" t="s">
        <v>185</v>
      </c>
      <c r="B49" s="53" t="s">
        <v>34</v>
      </c>
      <c r="C49" s="52">
        <v>56601.990899999997</v>
      </c>
      <c r="D49" s="52" t="s">
        <v>60</v>
      </c>
      <c r="E49" s="34">
        <f>+(C49-C$7)/C$8</f>
        <v>6708.9843236008055</v>
      </c>
      <c r="F49">
        <f>ROUND(2*E49,0)/2</f>
        <v>6709</v>
      </c>
      <c r="G49">
        <f>+C49-(C$7+F49*C$8)</f>
        <v>-6.9100000036996789E-3</v>
      </c>
      <c r="I49">
        <f>+G49</f>
        <v>-6.9100000036996789E-3</v>
      </c>
      <c r="O49">
        <f ca="1">+C$11+C$12*$F49</f>
        <v>-7.2390767022811617E-3</v>
      </c>
      <c r="Q49" s="2">
        <f>+C49-15018.5</f>
        <v>41583.490899999997</v>
      </c>
    </row>
    <row r="50" spans="1:17" x14ac:dyDescent="0.2">
      <c r="A50" s="51" t="s">
        <v>185</v>
      </c>
      <c r="B50" s="53" t="s">
        <v>43</v>
      </c>
      <c r="C50" s="52">
        <v>56603.977200000001</v>
      </c>
      <c r="D50" s="52" t="s">
        <v>60</v>
      </c>
      <c r="E50" s="34">
        <f>+(C50-C$7)/C$8</f>
        <v>6713.4905510560657</v>
      </c>
      <c r="F50">
        <f>ROUND(2*E50,0)/2</f>
        <v>6713.5</v>
      </c>
      <c r="G50">
        <f>+C50-(C$7+F50*C$8)</f>
        <v>-4.1649999984656461E-3</v>
      </c>
      <c r="I50">
        <f>+G50</f>
        <v>-4.1649999984656461E-3</v>
      </c>
      <c r="O50">
        <f ca="1">+C$11+C$12*$F50</f>
        <v>-7.2419125811942122E-3</v>
      </c>
      <c r="Q50" s="2">
        <f>+C50-15018.5</f>
        <v>41585.477200000001</v>
      </c>
    </row>
    <row r="51" spans="1:17" x14ac:dyDescent="0.2">
      <c r="A51" s="51" t="s">
        <v>185</v>
      </c>
      <c r="B51" s="53" t="s">
        <v>43</v>
      </c>
      <c r="C51" s="52">
        <v>56614.994200000001</v>
      </c>
      <c r="D51" s="52" t="s">
        <v>60</v>
      </c>
      <c r="E51" s="34">
        <f>+(C51-C$7)/C$8</f>
        <v>6738.4843122575448</v>
      </c>
      <c r="F51">
        <f>ROUND(2*E51,0)/2</f>
        <v>6738.5</v>
      </c>
      <c r="G51">
        <f>+C51-(C$7+F51*C$8)</f>
        <v>-6.9149999981164001E-3</v>
      </c>
      <c r="I51">
        <f>+G51</f>
        <v>-6.9149999981164001E-3</v>
      </c>
      <c r="O51">
        <f ca="1">+C$11+C$12*$F51</f>
        <v>-7.257667464044491E-3</v>
      </c>
      <c r="Q51" s="2">
        <f>+C51-15018.5</f>
        <v>41596.494200000001</v>
      </c>
    </row>
    <row r="52" spans="1:17" x14ac:dyDescent="0.2">
      <c r="A52" s="60" t="s">
        <v>1</v>
      </c>
      <c r="B52" s="61" t="s">
        <v>34</v>
      </c>
      <c r="C52" s="60">
        <v>56955.064699999988</v>
      </c>
      <c r="D52" s="59" t="s">
        <v>65</v>
      </c>
      <c r="E52" s="34">
        <f>+(C52-C$7)/C$8</f>
        <v>7509.9866149413328</v>
      </c>
      <c r="F52">
        <f>ROUND(2*E52,0)/2</f>
        <v>7510</v>
      </c>
      <c r="G52">
        <f>+C52-(C$7+F52*C$8)</f>
        <v>-5.900000011024531E-3</v>
      </c>
      <c r="K52">
        <f>+G52</f>
        <v>-5.900000011024531E-3</v>
      </c>
      <c r="O52">
        <f ca="1">+C$11+C$12*$F52</f>
        <v>-7.7438631488041037E-3</v>
      </c>
      <c r="Q52" s="2">
        <f>+C52-15018.5</f>
        <v>41936.564699999988</v>
      </c>
    </row>
    <row r="53" spans="1:17" x14ac:dyDescent="0.2">
      <c r="A53" s="60" t="s">
        <v>1</v>
      </c>
      <c r="B53" s="61" t="s">
        <v>43</v>
      </c>
      <c r="C53" s="60">
        <v>56976.001600000076</v>
      </c>
      <c r="D53" s="59" t="s">
        <v>65</v>
      </c>
      <c r="E53" s="34">
        <f>+(C53-C$7)/C$8</f>
        <v>7557.4851970327773</v>
      </c>
      <c r="F53">
        <f>ROUND(2*E53,0)/2</f>
        <v>7557.5</v>
      </c>
      <c r="G53">
        <f>+C53-(C$7+F53*C$8)</f>
        <v>-6.5249999242951162E-3</v>
      </c>
      <c r="K53">
        <f>+G53</f>
        <v>-6.5249999242951162E-3</v>
      </c>
      <c r="O53">
        <f ca="1">+C$11+C$12*$F53</f>
        <v>-7.7737974262196341E-3</v>
      </c>
      <c r="Q53" s="2">
        <f>+C53-15018.5</f>
        <v>41957.501600000076</v>
      </c>
    </row>
    <row r="54" spans="1:17" x14ac:dyDescent="0.2">
      <c r="A54" s="60" t="s">
        <v>2</v>
      </c>
      <c r="B54" s="61" t="s">
        <v>34</v>
      </c>
      <c r="C54" s="60">
        <v>57309.021099999998</v>
      </c>
      <c r="D54" s="57" t="s">
        <v>65</v>
      </c>
      <c r="E54" s="34">
        <f>+(C54-C$7)/C$8</f>
        <v>8312.9912203089916</v>
      </c>
      <c r="F54">
        <f>ROUND(2*E54,0)/2</f>
        <v>8313</v>
      </c>
      <c r="G54">
        <f>+C54-(C$7+F54*C$8)</f>
        <v>-3.8700000004610047E-3</v>
      </c>
      <c r="K54">
        <f>+G54</f>
        <v>-3.8700000004610047E-3</v>
      </c>
      <c r="O54">
        <f ca="1">+C$11+C$12*$F54</f>
        <v>-8.2499099859550673E-3</v>
      </c>
      <c r="Q54" s="2">
        <f>+C54-15018.5</f>
        <v>42290.521099999998</v>
      </c>
    </row>
    <row r="55" spans="1:17" x14ac:dyDescent="0.2">
      <c r="A55" s="62" t="s">
        <v>207</v>
      </c>
      <c r="B55" s="61" t="s">
        <v>34</v>
      </c>
      <c r="C55" s="60">
        <v>57309.021100000013</v>
      </c>
      <c r="D55" s="57"/>
      <c r="E55" s="34">
        <f>+(C55-C$7)/C$8</f>
        <v>8312.9912203090244</v>
      </c>
      <c r="F55">
        <f>ROUND(2*E55,0)/2</f>
        <v>8313</v>
      </c>
      <c r="G55">
        <f>+C55-(C$7+F55*C$8)</f>
        <v>-3.8699999859090894E-3</v>
      </c>
      <c r="K55">
        <f>+G55</f>
        <v>-3.8699999859090894E-3</v>
      </c>
      <c r="O55">
        <f ca="1">+C$11+C$12*$F55</f>
        <v>-8.2499099859550673E-3</v>
      </c>
      <c r="Q55" s="2">
        <f>+C55-15018.5</f>
        <v>42290.521100000013</v>
      </c>
    </row>
    <row r="56" spans="1:17" x14ac:dyDescent="0.2">
      <c r="A56" s="62" t="s">
        <v>207</v>
      </c>
      <c r="B56" s="61" t="s">
        <v>34</v>
      </c>
      <c r="C56" s="60">
        <v>57309.021100000013</v>
      </c>
      <c r="D56" s="57" t="s">
        <v>65</v>
      </c>
      <c r="E56" s="34">
        <f>+(C56-C$7)/C$8</f>
        <v>8312.9912203090244</v>
      </c>
      <c r="F56">
        <f>ROUND(2*E56,0)/2</f>
        <v>8313</v>
      </c>
      <c r="G56">
        <f>+C56-(C$7+F56*C$8)</f>
        <v>-3.8699999859090894E-3</v>
      </c>
      <c r="K56">
        <f>+G56</f>
        <v>-3.8699999859090894E-3</v>
      </c>
      <c r="O56">
        <f ca="1">+C$11+C$12*$F56</f>
        <v>-8.2499099859550673E-3</v>
      </c>
      <c r="Q56" s="2">
        <f>+C56-15018.5</f>
        <v>42290.521100000013</v>
      </c>
    </row>
    <row r="57" spans="1:17" x14ac:dyDescent="0.2">
      <c r="A57" s="60" t="s">
        <v>0</v>
      </c>
      <c r="B57" s="61" t="s">
        <v>34</v>
      </c>
      <c r="C57" s="60">
        <v>57724.904000000002</v>
      </c>
      <c r="D57" s="59" t="s">
        <v>65</v>
      </c>
      <c r="E57" s="34">
        <f>+(C57-C$7)/C$8</f>
        <v>9256.4856280768709</v>
      </c>
      <c r="F57">
        <f>ROUND(2*E57,0)/2</f>
        <v>9256.5</v>
      </c>
      <c r="G57">
        <f>+C57-(C$7+F57*C$8)</f>
        <v>-6.3349999982165173E-3</v>
      </c>
      <c r="K57">
        <f>+G57</f>
        <v>-6.3349999982165173E-3</v>
      </c>
      <c r="O57">
        <f ca="1">+C$11+C$12*$F57</f>
        <v>-8.8444992647245986E-3</v>
      </c>
      <c r="Q57" s="2">
        <f>+C57-15018.5</f>
        <v>42706.404000000002</v>
      </c>
    </row>
    <row r="58" spans="1:17" x14ac:dyDescent="0.2">
      <c r="A58" s="60" t="s">
        <v>0</v>
      </c>
      <c r="B58" s="61" t="s">
        <v>34</v>
      </c>
      <c r="C58" s="60">
        <v>57741.874000000003</v>
      </c>
      <c r="D58" s="59" t="s">
        <v>65</v>
      </c>
      <c r="E58" s="34">
        <f>+(C58-C$7)/C$8</f>
        <v>9294.9846865854615</v>
      </c>
      <c r="F58">
        <f>ROUND(2*E58,0)/2</f>
        <v>9295</v>
      </c>
      <c r="G58">
        <f>+C58-(C$7+F58*C$8)</f>
        <v>-6.7499999931897037E-3</v>
      </c>
      <c r="K58">
        <f>+G58</f>
        <v>-6.7499999931897037E-3</v>
      </c>
      <c r="O58">
        <f ca="1">+C$11+C$12*$F58</f>
        <v>-8.8687617843140297E-3</v>
      </c>
      <c r="Q58" s="2">
        <f>+C58-15018.5</f>
        <v>42723.374000000003</v>
      </c>
    </row>
    <row r="59" spans="1:17" x14ac:dyDescent="0.2">
      <c r="A59" s="34" t="s">
        <v>208</v>
      </c>
      <c r="B59" s="32" t="s">
        <v>34</v>
      </c>
      <c r="C59" s="63">
        <v>58038.084900000002</v>
      </c>
      <c r="D59" s="58" t="s">
        <v>59</v>
      </c>
      <c r="E59" s="34">
        <f>+(C59-C$7)/C$8</f>
        <v>9966.9847319585369</v>
      </c>
      <c r="F59">
        <f>ROUND(2*E59,0)/2</f>
        <v>9967</v>
      </c>
      <c r="G59">
        <f>+C59-(C$7+F59*C$8)</f>
        <v>-6.7299999936949462E-3</v>
      </c>
      <c r="K59">
        <f>+G59</f>
        <v>-6.7299999936949462E-3</v>
      </c>
      <c r="O59">
        <f ca="1">+C$11+C$12*$F59</f>
        <v>-9.2922530353295313E-3</v>
      </c>
      <c r="Q59" s="2">
        <f>+C59-15018.5</f>
        <v>43019.584900000002</v>
      </c>
    </row>
    <row r="60" spans="1:17" x14ac:dyDescent="0.2">
      <c r="A60" s="64" t="s">
        <v>209</v>
      </c>
      <c r="B60" s="65" t="s">
        <v>34</v>
      </c>
      <c r="C60" s="66">
        <v>58779.050799999997</v>
      </c>
      <c r="D60" s="66" t="s">
        <v>59</v>
      </c>
      <c r="E60" s="34">
        <f>+(C60-C$7)/C$8</f>
        <v>11647.979990471651</v>
      </c>
      <c r="F60">
        <f>ROUND(2*E60,0)/2</f>
        <v>11648</v>
      </c>
      <c r="G60">
        <f>+C60-(C$7+F60*C$8)</f>
        <v>-8.820000002742745E-3</v>
      </c>
      <c r="K60">
        <f>+G60</f>
        <v>-8.820000002742745E-3</v>
      </c>
      <c r="O60">
        <f ca="1">+C$11+C$12*$F60</f>
        <v>-1.0351611358182296E-2</v>
      </c>
      <c r="Q60" s="2">
        <f>+C60-15018.5</f>
        <v>43760.550799999997</v>
      </c>
    </row>
    <row r="61" spans="1:17" x14ac:dyDescent="0.2">
      <c r="A61" s="64" t="s">
        <v>209</v>
      </c>
      <c r="B61" s="65" t="s">
        <v>34</v>
      </c>
      <c r="C61" s="66">
        <v>58779.052799999998</v>
      </c>
      <c r="D61" s="66" t="s">
        <v>65</v>
      </c>
      <c r="E61" s="34">
        <f>+(C61-C$7)/C$8</f>
        <v>11647.984527779667</v>
      </c>
      <c r="F61">
        <f>ROUND(2*E61,0)/2</f>
        <v>11648</v>
      </c>
      <c r="G61">
        <f>+C61-(C$7+F61*C$8)</f>
        <v>-6.8200000023352914E-3</v>
      </c>
      <c r="K61">
        <f>+G61</f>
        <v>-6.8200000023352914E-3</v>
      </c>
      <c r="O61">
        <f ca="1">+C$11+C$12*$F61</f>
        <v>-1.0351611358182296E-2</v>
      </c>
      <c r="Q61" s="2">
        <f>+C61-15018.5</f>
        <v>43760.552799999998</v>
      </c>
    </row>
    <row r="62" spans="1:17" x14ac:dyDescent="0.2">
      <c r="A62" s="64" t="s">
        <v>209</v>
      </c>
      <c r="B62" s="65" t="s">
        <v>34</v>
      </c>
      <c r="C62" s="66">
        <v>58820.923199999997</v>
      </c>
      <c r="D62" s="66" t="s">
        <v>59</v>
      </c>
      <c r="E62" s="34">
        <f>+(C62-C$7)/C$8</f>
        <v>11742.973978538532</v>
      </c>
      <c r="F62">
        <f>ROUND(2*E62,0)/2</f>
        <v>11743</v>
      </c>
      <c r="G62">
        <f>+C62-(C$7+F62*C$8)</f>
        <v>-1.1469999997643754E-2</v>
      </c>
      <c r="K62">
        <f>+G62</f>
        <v>-1.1469999997643754E-2</v>
      </c>
      <c r="O62">
        <f ca="1">+C$11+C$12*$F62</f>
        <v>-1.0411479913013357E-2</v>
      </c>
      <c r="Q62" s="2">
        <f>+C62-15018.5</f>
        <v>43802.423199999997</v>
      </c>
    </row>
    <row r="63" spans="1:17" x14ac:dyDescent="0.2">
      <c r="A63" s="64" t="s">
        <v>209</v>
      </c>
      <c r="B63" s="65" t="s">
        <v>34</v>
      </c>
      <c r="C63" s="66">
        <v>58820.923900000002</v>
      </c>
      <c r="D63" s="66" t="s">
        <v>65</v>
      </c>
      <c r="E63" s="34">
        <f>+(C63-C$7)/C$8</f>
        <v>11742.975566596346</v>
      </c>
      <c r="F63">
        <f>ROUND(2*E63,0)/2</f>
        <v>11743</v>
      </c>
      <c r="G63">
        <f>+C63-(C$7+F63*C$8)</f>
        <v>-1.0769999993499368E-2</v>
      </c>
      <c r="K63">
        <f>+G63</f>
        <v>-1.0769999993499368E-2</v>
      </c>
      <c r="O63">
        <f ca="1">+C$11+C$12*$F63</f>
        <v>-1.0411479913013357E-2</v>
      </c>
      <c r="Q63" s="2">
        <f>+C63-15018.5</f>
        <v>43802.423900000002</v>
      </c>
    </row>
    <row r="64" spans="1:17" x14ac:dyDescent="0.2">
      <c r="A64" s="64" t="s">
        <v>209</v>
      </c>
      <c r="B64" s="65" t="s">
        <v>34</v>
      </c>
      <c r="C64" s="66">
        <v>58820.925000000003</v>
      </c>
      <c r="D64" s="66" t="s">
        <v>211</v>
      </c>
      <c r="E64" s="34">
        <f>+(C64-C$7)/C$8</f>
        <v>11742.978062115757</v>
      </c>
      <c r="F64">
        <f>ROUND(2*E64,0)/2</f>
        <v>11743</v>
      </c>
      <c r="G64">
        <f>+C64-(C$7+F64*C$8)</f>
        <v>-9.6699999921838753E-3</v>
      </c>
      <c r="K64">
        <f>+G64</f>
        <v>-9.6699999921838753E-3</v>
      </c>
      <c r="O64">
        <f ca="1">+C$11+C$12*$F64</f>
        <v>-1.0411479913013357E-2</v>
      </c>
      <c r="Q64" s="2">
        <f>+C64-15018.5</f>
        <v>43802.425000000003</v>
      </c>
    </row>
    <row r="65" spans="1:17" x14ac:dyDescent="0.2">
      <c r="A65" s="64" t="s">
        <v>209</v>
      </c>
      <c r="B65" s="65" t="s">
        <v>34</v>
      </c>
      <c r="C65" s="66">
        <v>58820.925999999999</v>
      </c>
      <c r="D65" s="66" t="s">
        <v>210</v>
      </c>
      <c r="E65" s="34">
        <f>+(C65-C$7)/C$8</f>
        <v>11742.980330769758</v>
      </c>
      <c r="F65">
        <f>ROUND(2*E65,0)/2</f>
        <v>11743</v>
      </c>
      <c r="G65">
        <f>+C65-(C$7+F65*C$8)</f>
        <v>-8.6699999956181273E-3</v>
      </c>
      <c r="K65">
        <f>+G65</f>
        <v>-8.6699999956181273E-3</v>
      </c>
      <c r="O65">
        <f ca="1">+C$11+C$12*$F65</f>
        <v>-1.0411479913013357E-2</v>
      </c>
      <c r="Q65" s="2">
        <f>+C65-15018.5</f>
        <v>43802.425999999999</v>
      </c>
    </row>
    <row r="66" spans="1:17" x14ac:dyDescent="0.2">
      <c r="A66" s="64" t="s">
        <v>209</v>
      </c>
      <c r="B66" s="65" t="s">
        <v>43</v>
      </c>
      <c r="C66" s="66">
        <v>58848.914299999997</v>
      </c>
      <c r="D66" s="66" t="s">
        <v>210</v>
      </c>
      <c r="E66" s="34">
        <f>+(C66-C$7)/C$8</f>
        <v>11806.476099730027</v>
      </c>
      <c r="F66">
        <f>ROUND(2*E66,0)/2</f>
        <v>11806.5</v>
      </c>
      <c r="G66">
        <f>+C66-(C$7+F66*C$8)</f>
        <v>-1.0535000001254957E-2</v>
      </c>
      <c r="K66">
        <f>+G66</f>
        <v>-1.0535000001254957E-2</v>
      </c>
      <c r="O66">
        <f ca="1">+C$11+C$12*$F66</f>
        <v>-1.0451497315453065E-2</v>
      </c>
      <c r="Q66" s="2">
        <f>+C66-15018.5</f>
        <v>43830.414299999997</v>
      </c>
    </row>
    <row r="67" spans="1:17" x14ac:dyDescent="0.2">
      <c r="A67" s="64" t="s">
        <v>209</v>
      </c>
      <c r="B67" s="65" t="s">
        <v>43</v>
      </c>
      <c r="C67" s="66">
        <v>58848.915200000003</v>
      </c>
      <c r="D67" s="66" t="s">
        <v>65</v>
      </c>
      <c r="E67" s="34">
        <f>+(C67-C$7)/C$8</f>
        <v>11806.478141518648</v>
      </c>
      <c r="F67">
        <f>ROUND(2*E67,0)/2</f>
        <v>11806.5</v>
      </c>
      <c r="G67">
        <f>+C67-(C$7+F67*C$8)</f>
        <v>-9.6349999948870391E-3</v>
      </c>
      <c r="K67">
        <f>+G67</f>
        <v>-9.6349999948870391E-3</v>
      </c>
      <c r="O67">
        <f ca="1">+C$11+C$12*$F67</f>
        <v>-1.0451497315453065E-2</v>
      </c>
      <c r="Q67" s="2">
        <f>+C67-15018.5</f>
        <v>43830.415200000003</v>
      </c>
    </row>
    <row r="68" spans="1:17" x14ac:dyDescent="0.2">
      <c r="A68" s="64" t="s">
        <v>209</v>
      </c>
      <c r="B68" s="65" t="s">
        <v>43</v>
      </c>
      <c r="C68" s="66">
        <v>58848.916400000002</v>
      </c>
      <c r="D68" s="66" t="s">
        <v>211</v>
      </c>
      <c r="E68" s="34">
        <f>+(C68-C$7)/C$8</f>
        <v>11806.480863903455</v>
      </c>
      <c r="F68">
        <f>ROUND(2*E68,0)/2</f>
        <v>11806.5</v>
      </c>
      <c r="G68">
        <f>+C68-(C$7+F68*C$8)</f>
        <v>-8.4349999960977584E-3</v>
      </c>
      <c r="K68">
        <f>+G68</f>
        <v>-8.4349999960977584E-3</v>
      </c>
      <c r="O68">
        <f ca="1">+C$11+C$12*$F68</f>
        <v>-1.0451497315453065E-2</v>
      </c>
      <c r="Q68" s="2">
        <f>+C68-15018.5</f>
        <v>43830.416400000002</v>
      </c>
    </row>
    <row r="69" spans="1:17" x14ac:dyDescent="0.2">
      <c r="A69" s="64" t="s">
        <v>209</v>
      </c>
      <c r="B69" s="65" t="s">
        <v>43</v>
      </c>
      <c r="C69" s="66">
        <v>58848.917200000004</v>
      </c>
      <c r="D69" s="66" t="s">
        <v>59</v>
      </c>
      <c r="E69" s="34">
        <f>+(C69-C$7)/C$8</f>
        <v>11806.482678826664</v>
      </c>
      <c r="F69">
        <f>ROUND(2*E69,0)/2</f>
        <v>11806.5</v>
      </c>
      <c r="G69">
        <f>+C69-(C$7+F69*C$8)</f>
        <v>-7.6349999944795854E-3</v>
      </c>
      <c r="K69">
        <f>+G69</f>
        <v>-7.6349999944795854E-3</v>
      </c>
      <c r="O69">
        <f ca="1">+C$11+C$12*$F69</f>
        <v>-1.0451497315453065E-2</v>
      </c>
      <c r="Q69" s="2">
        <f>+C69-15018.5</f>
        <v>43830.417200000004</v>
      </c>
    </row>
    <row r="70" spans="1:17" x14ac:dyDescent="0.2">
      <c r="A70" s="67" t="s">
        <v>212</v>
      </c>
      <c r="B70" s="68" t="s">
        <v>43</v>
      </c>
      <c r="C70" s="59">
        <v>59073.272499999999</v>
      </c>
      <c r="D70" s="59" t="s">
        <v>210</v>
      </c>
      <c r="E70" s="34">
        <f>+(C70-C$7)/C$8</f>
        <v>12315.467229292863</v>
      </c>
      <c r="F70">
        <f>ROUND(2*E70,0)/2</f>
        <v>12315.5</v>
      </c>
      <c r="G70">
        <f>+C70-(C$7+F70*C$8)</f>
        <v>-1.4445000000705477E-2</v>
      </c>
      <c r="K70">
        <f>+G70</f>
        <v>-1.4445000000705477E-2</v>
      </c>
      <c r="O70">
        <f ca="1">+C$11+C$12*$F70</f>
        <v>-1.0772266730284748E-2</v>
      </c>
      <c r="Q70" s="2">
        <f>+C70-15018.5</f>
        <v>44054.772499999999</v>
      </c>
    </row>
    <row r="71" spans="1:17" x14ac:dyDescent="0.2">
      <c r="A71" s="67" t="s">
        <v>212</v>
      </c>
      <c r="B71" s="68" t="s">
        <v>43</v>
      </c>
      <c r="C71" s="59">
        <v>59073.2745</v>
      </c>
      <c r="D71" s="59" t="s">
        <v>65</v>
      </c>
      <c r="E71" s="34">
        <f>+(C71-C$7)/C$8</f>
        <v>12315.471766600878</v>
      </c>
      <c r="F71">
        <f>ROUND(2*E71,0)/2</f>
        <v>12315.5</v>
      </c>
      <c r="G71">
        <f>+C71-(C$7+F71*C$8)</f>
        <v>-1.2445000000298023E-2</v>
      </c>
      <c r="K71">
        <f>+G71</f>
        <v>-1.2445000000298023E-2</v>
      </c>
      <c r="O71">
        <f ca="1">+C$11+C$12*$F71</f>
        <v>-1.0772266730284748E-2</v>
      </c>
      <c r="Q71" s="2">
        <f>+C71-15018.5</f>
        <v>44054.7745</v>
      </c>
    </row>
    <row r="72" spans="1:17" x14ac:dyDescent="0.2">
      <c r="A72" s="67" t="s">
        <v>212</v>
      </c>
      <c r="B72" s="68" t="s">
        <v>43</v>
      </c>
      <c r="C72" s="59">
        <v>59073.274599999997</v>
      </c>
      <c r="D72" s="59" t="s">
        <v>59</v>
      </c>
      <c r="E72" s="34">
        <f>+(C72-C$7)/C$8</f>
        <v>12315.471993466273</v>
      </c>
      <c r="F72">
        <f>ROUND(2*E72,0)/2</f>
        <v>12315.5</v>
      </c>
      <c r="G72">
        <f>+C72-(C$7+F72*C$8)</f>
        <v>-1.2345000002824236E-2</v>
      </c>
      <c r="K72">
        <f>+G72</f>
        <v>-1.2345000002824236E-2</v>
      </c>
      <c r="O72">
        <f ca="1">+C$11+C$12*$F72</f>
        <v>-1.0772266730284748E-2</v>
      </c>
      <c r="Q72" s="2">
        <f>+C72-15018.5</f>
        <v>44054.774599999997</v>
      </c>
    </row>
    <row r="73" spans="1:17" x14ac:dyDescent="0.2">
      <c r="A73" s="67" t="s">
        <v>212</v>
      </c>
      <c r="B73" s="68" t="s">
        <v>43</v>
      </c>
      <c r="C73" s="59">
        <v>59073.275600000001</v>
      </c>
      <c r="D73" s="59" t="s">
        <v>211</v>
      </c>
      <c r="E73" s="34">
        <f>+(C73-C$7)/C$8</f>
        <v>12315.474262120289</v>
      </c>
      <c r="F73">
        <f>ROUND(2*E73,0)/2</f>
        <v>12315.5</v>
      </c>
      <c r="G73">
        <f>+C73-(C$7+F73*C$8)</f>
        <v>-1.134499999898253E-2</v>
      </c>
      <c r="K73">
        <f>+G73</f>
        <v>-1.134499999898253E-2</v>
      </c>
      <c r="O73">
        <f ca="1">+C$11+C$12*$F73</f>
        <v>-1.0772266730284748E-2</v>
      </c>
      <c r="Q73" s="2">
        <f>+C73-15018.5</f>
        <v>44054.775600000001</v>
      </c>
    </row>
    <row r="74" spans="1:17" x14ac:dyDescent="0.2">
      <c r="A74" s="67" t="s">
        <v>212</v>
      </c>
      <c r="B74" s="68" t="s">
        <v>43</v>
      </c>
      <c r="C74" s="59">
        <v>59077.241099999999</v>
      </c>
      <c r="D74" s="59" t="s">
        <v>65</v>
      </c>
      <c r="E74" s="34">
        <f>+(C74-C$7)/C$8</f>
        <v>12324.470609587335</v>
      </c>
      <c r="F74">
        <f>ROUND(2*E74,0)/2</f>
        <v>12324.5</v>
      </c>
      <c r="G74">
        <f>+C74-(C$7+F74*C$8)</f>
        <v>-1.2954999998328276E-2</v>
      </c>
      <c r="K74">
        <f>+G74</f>
        <v>-1.2954999998328276E-2</v>
      </c>
      <c r="O74">
        <f ca="1">+C$11+C$12*$F74</f>
        <v>-1.0777938488110848E-2</v>
      </c>
      <c r="Q74" s="2">
        <f>+C74-15018.5</f>
        <v>44058.741099999999</v>
      </c>
    </row>
    <row r="75" spans="1:17" x14ac:dyDescent="0.2">
      <c r="A75" s="67" t="s">
        <v>212</v>
      </c>
      <c r="B75" s="68" t="s">
        <v>43</v>
      </c>
      <c r="C75" s="59">
        <v>59077.241499999996</v>
      </c>
      <c r="D75" s="59" t="s">
        <v>211</v>
      </c>
      <c r="E75" s="34">
        <f>+(C75-C$7)/C$8</f>
        <v>12324.471517048931</v>
      </c>
      <c r="F75">
        <f>ROUND(2*E75,0)/2</f>
        <v>12324.5</v>
      </c>
      <c r="G75">
        <f>+C75-(C$7+F75*C$8)</f>
        <v>-1.2555000001157168E-2</v>
      </c>
      <c r="K75">
        <f>+G75</f>
        <v>-1.2555000001157168E-2</v>
      </c>
      <c r="O75">
        <f ca="1">+C$11+C$12*$F75</f>
        <v>-1.0777938488110848E-2</v>
      </c>
      <c r="Q75" s="2">
        <f>+C75-15018.5</f>
        <v>44058.741499999996</v>
      </c>
    </row>
    <row r="76" spans="1:17" x14ac:dyDescent="0.2">
      <c r="A76" s="69" t="s">
        <v>213</v>
      </c>
      <c r="B76" s="70" t="s">
        <v>34</v>
      </c>
      <c r="C76" s="79">
        <v>59508.107900000177</v>
      </c>
      <c r="D76" s="80" t="s">
        <v>65</v>
      </c>
      <c r="E76" s="34">
        <f>+(C76-C$7)/C$8</f>
        <v>13301.958302139747</v>
      </c>
      <c r="F76">
        <f>ROUND(2*E76,0)/2</f>
        <v>13302</v>
      </c>
      <c r="G76">
        <f>+C76-(C$7+F76*C$8)</f>
        <v>-1.8379999819444492E-2</v>
      </c>
      <c r="K76">
        <f>+G76</f>
        <v>-1.8379999819444492E-2</v>
      </c>
      <c r="O76">
        <f ca="1">+C$11+C$12*$F76</f>
        <v>-1.139395440755676E-2</v>
      </c>
      <c r="Q76" s="2">
        <f>+C76-15018.5</f>
        <v>44489.607900000177</v>
      </c>
    </row>
    <row r="77" spans="1:17" x14ac:dyDescent="0.2">
      <c r="A77" s="69" t="s">
        <v>213</v>
      </c>
      <c r="B77" s="70" t="s">
        <v>34</v>
      </c>
      <c r="C77" s="79">
        <v>59576.871999999974</v>
      </c>
      <c r="D77" s="80" t="s">
        <v>59</v>
      </c>
      <c r="E77" s="34">
        <f>+(C77-C$7)/C$8</f>
        <v>13457.960253181733</v>
      </c>
      <c r="F77">
        <f>ROUND(2*E77,0)/2</f>
        <v>13458</v>
      </c>
      <c r="G77">
        <f>+C77-(C$7+F77*C$8)</f>
        <v>-1.752000002306886E-2</v>
      </c>
      <c r="K77">
        <f>+G77</f>
        <v>-1.752000002306886E-2</v>
      </c>
      <c r="O77">
        <f ca="1">+C$11+C$12*$F77</f>
        <v>-1.14922648765425E-2</v>
      </c>
      <c r="Q77" s="2">
        <f>+C77-15018.5</f>
        <v>44558.371999999974</v>
      </c>
    </row>
    <row r="78" spans="1:17" x14ac:dyDescent="0.2">
      <c r="A78" s="69" t="s">
        <v>213</v>
      </c>
      <c r="B78" s="70" t="s">
        <v>34</v>
      </c>
      <c r="C78" s="79">
        <v>59576.87229999993</v>
      </c>
      <c r="D78" s="80" t="s">
        <v>65</v>
      </c>
      <c r="E78" s="34">
        <f>+(C78-C$7)/C$8</f>
        <v>13457.960933777835</v>
      </c>
      <c r="F78">
        <f>ROUND(2*E78,0)/2</f>
        <v>13458</v>
      </c>
      <c r="G78">
        <f>+C78-(C$7+F78*C$8)</f>
        <v>-1.7220000067027286E-2</v>
      </c>
      <c r="K78">
        <f>+G78</f>
        <v>-1.7220000067027286E-2</v>
      </c>
      <c r="O78">
        <f ca="1">+C$11+C$12*$F78</f>
        <v>-1.14922648765425E-2</v>
      </c>
      <c r="Q78" s="2">
        <f>+C78-15018.5</f>
        <v>44558.37229999993</v>
      </c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C108" s="10"/>
      <c r="D108" s="10"/>
    </row>
    <row r="109" spans="2:4" x14ac:dyDescent="0.2">
      <c r="C109" s="10"/>
      <c r="D109" s="10"/>
    </row>
    <row r="110" spans="2:4" x14ac:dyDescent="0.2">
      <c r="C110" s="10"/>
      <c r="D110" s="10"/>
    </row>
    <row r="111" spans="2:4" x14ac:dyDescent="0.2"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59:D74" name="Range1"/>
  </protectedRanges>
  <sortState xmlns:xlrd2="http://schemas.microsoft.com/office/spreadsheetml/2017/richdata2" ref="A21:X80">
    <sortCondition ref="C21:C80"/>
  </sortState>
  <phoneticPr fontId="8" type="noConversion"/>
  <hyperlinks>
    <hyperlink ref="H1791" r:id="rId1" display="http://vsolj.cetus-net.org/bulletin.html" xr:uid="{00000000-0004-0000-0000-000000000000}"/>
    <hyperlink ref="H64618" r:id="rId2" display="http://vsolj.cetus-net.org/bulletin.html" xr:uid="{00000000-0004-0000-0000-000001000000}"/>
    <hyperlink ref="H64611" r:id="rId3" display="https://www.aavso.org/ejaavso" xr:uid="{00000000-0004-0000-0000-000002000000}"/>
    <hyperlink ref="I64618" r:id="rId4" display="http://vsolj.cetus-net.org/bulletin.html" xr:uid="{00000000-0004-0000-0000-000003000000}"/>
    <hyperlink ref="AQ58269" r:id="rId5" display="http://cdsbib.u-strasbg.fr/cgi-bin/cdsbib?1990RMxAA..21..381G" xr:uid="{00000000-0004-0000-0000-000004000000}"/>
    <hyperlink ref="H64615" r:id="rId6" display="https://www.aavso.org/ejaavso" xr:uid="{00000000-0004-0000-0000-000005000000}"/>
    <hyperlink ref="AP5633" r:id="rId7" display="http://cdsbib.u-strasbg.fr/cgi-bin/cdsbib?1990RMxAA..21..381G" xr:uid="{00000000-0004-0000-0000-000006000000}"/>
    <hyperlink ref="AP5636" r:id="rId8" display="http://cdsbib.u-strasbg.fr/cgi-bin/cdsbib?1990RMxAA..21..381G" xr:uid="{00000000-0004-0000-0000-000007000000}"/>
    <hyperlink ref="AP5634" r:id="rId9" display="http://cdsbib.u-strasbg.fr/cgi-bin/cdsbib?1990RMxAA..21..381G" xr:uid="{00000000-0004-0000-0000-000008000000}"/>
    <hyperlink ref="AP5618" r:id="rId10" display="http://cdsbib.u-strasbg.fr/cgi-bin/cdsbib?1990RMxAA..21..381G" xr:uid="{00000000-0004-0000-0000-000009000000}"/>
    <hyperlink ref="AQ5847" r:id="rId11" display="http://cdsbib.u-strasbg.fr/cgi-bin/cdsbib?1990RMxAA..21..381G" xr:uid="{00000000-0004-0000-0000-00000A000000}"/>
    <hyperlink ref="AQ5851" r:id="rId12" display="http://cdsbib.u-strasbg.fr/cgi-bin/cdsbib?1990RMxAA..21..381G" xr:uid="{00000000-0004-0000-0000-00000B000000}"/>
    <hyperlink ref="AQ65531" r:id="rId13" display="http://cdsbib.u-strasbg.fr/cgi-bin/cdsbib?1990RMxAA..21..381G" xr:uid="{00000000-0004-0000-0000-00000C000000}"/>
    <hyperlink ref="I2739" r:id="rId14" display="http://vsolj.cetus-net.org/bulletin.html" xr:uid="{00000000-0004-0000-0000-00000D000000}"/>
    <hyperlink ref="H2739" r:id="rId15" display="http://vsolj.cetus-net.org/bulletin.html" xr:uid="{00000000-0004-0000-0000-00000E000000}"/>
    <hyperlink ref="AQ656" r:id="rId16" display="http://cdsbib.u-strasbg.fr/cgi-bin/cdsbib?1990RMxAA..21..381G" xr:uid="{00000000-0004-0000-0000-00000F000000}"/>
    <hyperlink ref="AQ655" r:id="rId17" display="http://cdsbib.u-strasbg.fr/cgi-bin/cdsbib?1990RMxAA..21..381G" xr:uid="{00000000-0004-0000-0000-000010000000}"/>
    <hyperlink ref="AP3909" r:id="rId18" display="http://cdsbib.u-strasbg.fr/cgi-bin/cdsbib?1990RMxAA..21..381G" xr:uid="{00000000-0004-0000-0000-000011000000}"/>
    <hyperlink ref="AP3927" r:id="rId19" display="http://cdsbib.u-strasbg.fr/cgi-bin/cdsbib?1990RMxAA..21..381G" xr:uid="{00000000-0004-0000-0000-000012000000}"/>
    <hyperlink ref="AP3928" r:id="rId20" display="http://cdsbib.u-strasbg.fr/cgi-bin/cdsbib?1990RMxAA..21..381G" xr:uid="{00000000-0004-0000-0000-000013000000}"/>
    <hyperlink ref="AP392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7"/>
  <sheetViews>
    <sheetView workbookViewId="0">
      <selection activeCell="A17" sqref="A17:D41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8" t="s">
        <v>50</v>
      </c>
      <c r="I1" s="39" t="s">
        <v>51</v>
      </c>
      <c r="J1" s="40" t="s">
        <v>52</v>
      </c>
    </row>
    <row r="2" spans="1:16" x14ac:dyDescent="0.2">
      <c r="I2" s="41" t="s">
        <v>53</v>
      </c>
      <c r="J2" s="42" t="s">
        <v>54</v>
      </c>
    </row>
    <row r="3" spans="1:16" x14ac:dyDescent="0.2">
      <c r="A3" s="43" t="s">
        <v>55</v>
      </c>
      <c r="I3" s="41" t="s">
        <v>56</v>
      </c>
      <c r="J3" s="42" t="s">
        <v>57</v>
      </c>
    </row>
    <row r="4" spans="1:16" x14ac:dyDescent="0.2">
      <c r="I4" s="41" t="s">
        <v>58</v>
      </c>
      <c r="J4" s="42" t="s">
        <v>57</v>
      </c>
    </row>
    <row r="5" spans="1:16" ht="13.5" thickBot="1" x14ac:dyDescent="0.25">
      <c r="I5" s="44" t="s">
        <v>59</v>
      </c>
      <c r="J5" s="45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41" si="0">P11</f>
        <v>IBVS 5843 </v>
      </c>
      <c r="B11" s="3" t="str">
        <f t="shared" ref="B11:B41" si="1">IF(H11=INT(H11),"I","II")</f>
        <v>II</v>
      </c>
      <c r="C11" s="10">
        <f t="shared" ref="C11:C41" si="2">1*G11</f>
        <v>53337.7258</v>
      </c>
      <c r="D11" s="16" t="str">
        <f t="shared" ref="D11:D41" si="3">VLOOKUP(F11,I$1:J$5,2,FALSE)</f>
        <v>vis</v>
      </c>
      <c r="E11" s="46">
        <f>VLOOKUP(C11,Active!C$21:E$970,3,FALSE)</f>
        <v>-696.50377730891739</v>
      </c>
      <c r="F11" s="3" t="s">
        <v>59</v>
      </c>
      <c r="G11" s="16" t="str">
        <f t="shared" ref="G11:G41" si="4">MID(I11,3,LEN(I11)-3)</f>
        <v>53337.7258</v>
      </c>
      <c r="H11" s="10">
        <f t="shared" ref="H11:H41" si="5">1*K11</f>
        <v>1900.5</v>
      </c>
      <c r="I11" s="47" t="s">
        <v>99</v>
      </c>
      <c r="J11" s="48" t="s">
        <v>100</v>
      </c>
      <c r="K11" s="47">
        <v>1900.5</v>
      </c>
      <c r="L11" s="47" t="s">
        <v>101</v>
      </c>
      <c r="M11" s="48" t="s">
        <v>64</v>
      </c>
      <c r="N11" s="48" t="s">
        <v>102</v>
      </c>
      <c r="O11" s="49" t="s">
        <v>103</v>
      </c>
      <c r="P11" s="50" t="s">
        <v>104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53370.563399999999</v>
      </c>
      <c r="D12" s="16" t="str">
        <f t="shared" si="3"/>
        <v>vis</v>
      </c>
      <c r="E12" s="46">
        <f>VLOOKUP(C12,Active!C$21:E$970,3,FALSE)</f>
        <v>-622.00662446969932</v>
      </c>
      <c r="F12" s="3" t="s">
        <v>59</v>
      </c>
      <c r="G12" s="16" t="str">
        <f t="shared" si="4"/>
        <v>53370.5634</v>
      </c>
      <c r="H12" s="10">
        <f t="shared" si="5"/>
        <v>1975</v>
      </c>
      <c r="I12" s="47" t="s">
        <v>105</v>
      </c>
      <c r="J12" s="48" t="s">
        <v>106</v>
      </c>
      <c r="K12" s="47" t="s">
        <v>107</v>
      </c>
      <c r="L12" s="47" t="s">
        <v>108</v>
      </c>
      <c r="M12" s="48" t="s">
        <v>75</v>
      </c>
      <c r="N12" s="48" t="s">
        <v>76</v>
      </c>
      <c r="O12" s="49" t="s">
        <v>109</v>
      </c>
      <c r="P12" s="50" t="s">
        <v>110</v>
      </c>
    </row>
    <row r="13" spans="1:16" ht="12.75" customHeight="1" thickBot="1" x14ac:dyDescent="0.25">
      <c r="A13" s="10" t="str">
        <f t="shared" si="0"/>
        <v>IBVS 5677 </v>
      </c>
      <c r="B13" s="3" t="str">
        <f t="shared" si="1"/>
        <v>II</v>
      </c>
      <c r="C13" s="10">
        <f t="shared" si="2"/>
        <v>53402.520700000001</v>
      </c>
      <c r="D13" s="16" t="str">
        <f t="shared" si="3"/>
        <v>vis</v>
      </c>
      <c r="E13" s="46">
        <f>VLOOKUP(C13,Active!C$21:E$970,3,FALSE)</f>
        <v>-549.50656775334494</v>
      </c>
      <c r="F13" s="3" t="s">
        <v>59</v>
      </c>
      <c r="G13" s="16" t="str">
        <f t="shared" si="4"/>
        <v>53402.5207</v>
      </c>
      <c r="H13" s="10">
        <f t="shared" si="5"/>
        <v>2047.5</v>
      </c>
      <c r="I13" s="47" t="s">
        <v>111</v>
      </c>
      <c r="J13" s="48" t="s">
        <v>112</v>
      </c>
      <c r="K13" s="47" t="s">
        <v>113</v>
      </c>
      <c r="L13" s="47" t="s">
        <v>114</v>
      </c>
      <c r="M13" s="48" t="s">
        <v>75</v>
      </c>
      <c r="N13" s="48" t="s">
        <v>76</v>
      </c>
      <c r="O13" s="49" t="s">
        <v>115</v>
      </c>
      <c r="P13" s="50" t="s">
        <v>116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II</v>
      </c>
      <c r="C14" s="10">
        <f t="shared" si="2"/>
        <v>54040.783199999998</v>
      </c>
      <c r="D14" s="16" t="str">
        <f t="shared" si="3"/>
        <v>vis</v>
      </c>
      <c r="E14" s="46">
        <f>VLOOKUP(C14,Active!C$21:E$970,3,FALSE)</f>
        <v>898.4902107579577</v>
      </c>
      <c r="F14" s="3" t="s">
        <v>59</v>
      </c>
      <c r="G14" s="16" t="str">
        <f t="shared" si="4"/>
        <v>54040.7832</v>
      </c>
      <c r="H14" s="10">
        <f t="shared" si="5"/>
        <v>3495.5</v>
      </c>
      <c r="I14" s="47" t="s">
        <v>136</v>
      </c>
      <c r="J14" s="48" t="s">
        <v>137</v>
      </c>
      <c r="K14" s="47" t="s">
        <v>138</v>
      </c>
      <c r="L14" s="47" t="s">
        <v>108</v>
      </c>
      <c r="M14" s="48" t="s">
        <v>64</v>
      </c>
      <c r="N14" s="48" t="s">
        <v>102</v>
      </c>
      <c r="O14" s="49" t="s">
        <v>103</v>
      </c>
      <c r="P14" s="50" t="s">
        <v>104</v>
      </c>
    </row>
    <row r="15" spans="1:16" ht="12.75" customHeight="1" thickBot="1" x14ac:dyDescent="0.25">
      <c r="A15" s="10" t="str">
        <f t="shared" si="0"/>
        <v>IBVS 5960 </v>
      </c>
      <c r="B15" s="3" t="str">
        <f t="shared" si="1"/>
        <v>I</v>
      </c>
      <c r="C15" s="10">
        <f t="shared" si="2"/>
        <v>55543.654600000002</v>
      </c>
      <c r="D15" s="16" t="str">
        <f t="shared" si="3"/>
        <v>vis</v>
      </c>
      <c r="E15" s="46">
        <f>VLOOKUP(C15,Active!C$21:E$970,3,FALSE)</f>
        <v>4307.9854352412794</v>
      </c>
      <c r="F15" s="3" t="s">
        <v>59</v>
      </c>
      <c r="G15" s="16" t="str">
        <f t="shared" si="4"/>
        <v>55543.6546</v>
      </c>
      <c r="H15" s="10">
        <f t="shared" si="5"/>
        <v>6905</v>
      </c>
      <c r="I15" s="47" t="s">
        <v>156</v>
      </c>
      <c r="J15" s="48" t="s">
        <v>157</v>
      </c>
      <c r="K15" s="47" t="s">
        <v>158</v>
      </c>
      <c r="L15" s="47" t="s">
        <v>148</v>
      </c>
      <c r="M15" s="48" t="s">
        <v>64</v>
      </c>
      <c r="N15" s="48" t="s">
        <v>59</v>
      </c>
      <c r="O15" s="49" t="s">
        <v>159</v>
      </c>
      <c r="P15" s="50" t="s">
        <v>160</v>
      </c>
    </row>
    <row r="16" spans="1:16" ht="12.75" customHeight="1" thickBot="1" x14ac:dyDescent="0.25">
      <c r="A16" s="10" t="str">
        <f t="shared" si="0"/>
        <v>IBVS 6011 </v>
      </c>
      <c r="B16" s="3" t="str">
        <f t="shared" si="1"/>
        <v>I</v>
      </c>
      <c r="C16" s="10">
        <f t="shared" si="2"/>
        <v>55850.885699999999</v>
      </c>
      <c r="D16" s="16" t="str">
        <f t="shared" si="3"/>
        <v>vis</v>
      </c>
      <c r="E16" s="46">
        <f>VLOOKUP(C16,Active!C$21:E$970,3,FALSE)</f>
        <v>5004.9865015086571</v>
      </c>
      <c r="F16" s="3" t="s">
        <v>59</v>
      </c>
      <c r="G16" s="16" t="str">
        <f t="shared" si="4"/>
        <v>55850.8857</v>
      </c>
      <c r="H16" s="10">
        <f t="shared" si="5"/>
        <v>7602</v>
      </c>
      <c r="I16" s="47" t="s">
        <v>166</v>
      </c>
      <c r="J16" s="48" t="s">
        <v>167</v>
      </c>
      <c r="K16" s="47" t="s">
        <v>168</v>
      </c>
      <c r="L16" s="47" t="s">
        <v>169</v>
      </c>
      <c r="M16" s="48" t="s">
        <v>64</v>
      </c>
      <c r="N16" s="48" t="s">
        <v>59</v>
      </c>
      <c r="O16" s="49" t="s">
        <v>159</v>
      </c>
      <c r="P16" s="50" t="s">
        <v>170</v>
      </c>
    </row>
    <row r="17" spans="1:16" ht="12.75" customHeight="1" thickBot="1" x14ac:dyDescent="0.25">
      <c r="A17" s="10" t="str">
        <f t="shared" si="0"/>
        <v>VSB 47 </v>
      </c>
      <c r="B17" s="3" t="str">
        <f t="shared" si="1"/>
        <v>I</v>
      </c>
      <c r="C17" s="10">
        <f t="shared" si="2"/>
        <v>51472.08</v>
      </c>
      <c r="D17" s="16" t="str">
        <f t="shared" si="3"/>
        <v>vis</v>
      </c>
      <c r="E17" s="46">
        <f>VLOOKUP(C17,Active!C$21:E$970,3,FALSE)</f>
        <v>-4929.0085981986795</v>
      </c>
      <c r="F17" s="3" t="s">
        <v>59</v>
      </c>
      <c r="G17" s="16" t="str">
        <f t="shared" si="4"/>
        <v>51472.08</v>
      </c>
      <c r="H17" s="10">
        <f t="shared" si="5"/>
        <v>-2332</v>
      </c>
      <c r="I17" s="47" t="s">
        <v>61</v>
      </c>
      <c r="J17" s="48" t="s">
        <v>62</v>
      </c>
      <c r="K17" s="47">
        <v>-2332</v>
      </c>
      <c r="L17" s="47" t="s">
        <v>63</v>
      </c>
      <c r="M17" s="48" t="s">
        <v>64</v>
      </c>
      <c r="N17" s="48" t="s">
        <v>65</v>
      </c>
      <c r="O17" s="49" t="s">
        <v>66</v>
      </c>
      <c r="P17" s="50" t="s">
        <v>67</v>
      </c>
    </row>
    <row r="18" spans="1:16" ht="12.75" customHeight="1" thickBot="1" x14ac:dyDescent="0.25">
      <c r="A18" s="10" t="str">
        <f t="shared" si="0"/>
        <v>VSB 47 </v>
      </c>
      <c r="B18" s="3" t="str">
        <f t="shared" si="1"/>
        <v>II</v>
      </c>
      <c r="C18" s="10">
        <f t="shared" si="2"/>
        <v>51541.946000000004</v>
      </c>
      <c r="D18" s="16" t="str">
        <f t="shared" si="3"/>
        <v>vis</v>
      </c>
      <c r="E18" s="46">
        <f>VLOOKUP(C18,Active!C$21:E$970,3,FALSE)</f>
        <v>-4770.5068173052796</v>
      </c>
      <c r="F18" s="3" t="s">
        <v>59</v>
      </c>
      <c r="G18" s="16" t="str">
        <f t="shared" si="4"/>
        <v>51541.946</v>
      </c>
      <c r="H18" s="10">
        <f t="shared" si="5"/>
        <v>-2173.5</v>
      </c>
      <c r="I18" s="47" t="s">
        <v>68</v>
      </c>
      <c r="J18" s="48" t="s">
        <v>69</v>
      </c>
      <c r="K18" s="47">
        <v>-2173.5</v>
      </c>
      <c r="L18" s="47" t="s">
        <v>70</v>
      </c>
      <c r="M18" s="48" t="s">
        <v>64</v>
      </c>
      <c r="N18" s="48" t="s">
        <v>59</v>
      </c>
      <c r="O18" s="49" t="s">
        <v>71</v>
      </c>
      <c r="P18" s="50" t="s">
        <v>67</v>
      </c>
    </row>
    <row r="19" spans="1:16" ht="12.75" customHeight="1" thickBot="1" x14ac:dyDescent="0.25">
      <c r="A19" s="10" t="str">
        <f t="shared" si="0"/>
        <v> BBS 125 </v>
      </c>
      <c r="B19" s="3" t="str">
        <f t="shared" si="1"/>
        <v>I</v>
      </c>
      <c r="C19" s="10">
        <f t="shared" si="2"/>
        <v>51810.614999999998</v>
      </c>
      <c r="D19" s="16" t="str">
        <f t="shared" si="3"/>
        <v>vis</v>
      </c>
      <c r="E19" s="46">
        <f>VLOOKUP(C19,Active!C$21:E$970,3,FALSE)</f>
        <v>-4160.9898137435057</v>
      </c>
      <c r="F19" s="3" t="s">
        <v>59</v>
      </c>
      <c r="G19" s="16" t="str">
        <f t="shared" si="4"/>
        <v>51810.615</v>
      </c>
      <c r="H19" s="10">
        <f t="shared" si="5"/>
        <v>-1564</v>
      </c>
      <c r="I19" s="47" t="s">
        <v>72</v>
      </c>
      <c r="J19" s="48" t="s">
        <v>73</v>
      </c>
      <c r="K19" s="47">
        <v>-1564</v>
      </c>
      <c r="L19" s="47" t="s">
        <v>74</v>
      </c>
      <c r="M19" s="48" t="s">
        <v>75</v>
      </c>
      <c r="N19" s="48" t="s">
        <v>76</v>
      </c>
      <c r="O19" s="49" t="s">
        <v>77</v>
      </c>
      <c r="P19" s="49" t="s">
        <v>78</v>
      </c>
    </row>
    <row r="20" spans="1:16" ht="12.75" customHeight="1" thickBot="1" x14ac:dyDescent="0.25">
      <c r="A20" s="10" t="str">
        <f t="shared" si="0"/>
        <v>VSB 39 </v>
      </c>
      <c r="B20" s="3" t="str">
        <f t="shared" si="1"/>
        <v>I</v>
      </c>
      <c r="C20" s="10">
        <f t="shared" si="2"/>
        <v>52194.084999999999</v>
      </c>
      <c r="D20" s="16" t="str">
        <f t="shared" si="3"/>
        <v>vis</v>
      </c>
      <c r="E20" s="46">
        <f>VLOOKUP(C20,Active!C$21:E$970,3,FALSE)</f>
        <v>-3291.0290614578339</v>
      </c>
      <c r="F20" s="3" t="s">
        <v>59</v>
      </c>
      <c r="G20" s="16" t="str">
        <f t="shared" si="4"/>
        <v>52194.085</v>
      </c>
      <c r="H20" s="10">
        <f t="shared" si="5"/>
        <v>-694</v>
      </c>
      <c r="I20" s="47" t="s">
        <v>79</v>
      </c>
      <c r="J20" s="48" t="s">
        <v>80</v>
      </c>
      <c r="K20" s="47">
        <v>-694</v>
      </c>
      <c r="L20" s="47" t="s">
        <v>81</v>
      </c>
      <c r="M20" s="48" t="s">
        <v>75</v>
      </c>
      <c r="N20" s="48" t="s">
        <v>76</v>
      </c>
      <c r="O20" s="49" t="s">
        <v>71</v>
      </c>
      <c r="P20" s="50" t="s">
        <v>82</v>
      </c>
    </row>
    <row r="21" spans="1:16" ht="12.75" customHeight="1" thickBot="1" x14ac:dyDescent="0.25">
      <c r="A21" s="10" t="str">
        <f t="shared" si="0"/>
        <v>VSB 40 </v>
      </c>
      <c r="B21" s="3" t="str">
        <f t="shared" si="1"/>
        <v>II</v>
      </c>
      <c r="C21" s="10">
        <f t="shared" si="2"/>
        <v>52576.04</v>
      </c>
      <c r="D21" s="16" t="str">
        <f t="shared" si="3"/>
        <v>vis</v>
      </c>
      <c r="E21" s="46">
        <f>VLOOKUP(C21,Active!C$21:E$970,3,FALSE)</f>
        <v>-2424.505319993641</v>
      </c>
      <c r="F21" s="3" t="s">
        <v>59</v>
      </c>
      <c r="G21" s="16" t="str">
        <f t="shared" si="4"/>
        <v>52576.0400</v>
      </c>
      <c r="H21" s="10">
        <f t="shared" si="5"/>
        <v>172.5</v>
      </c>
      <c r="I21" s="47" t="s">
        <v>83</v>
      </c>
      <c r="J21" s="48" t="s">
        <v>84</v>
      </c>
      <c r="K21" s="47">
        <v>172.5</v>
      </c>
      <c r="L21" s="47" t="s">
        <v>85</v>
      </c>
      <c r="M21" s="48" t="s">
        <v>75</v>
      </c>
      <c r="N21" s="48" t="s">
        <v>76</v>
      </c>
      <c r="O21" s="49" t="s">
        <v>71</v>
      </c>
      <c r="P21" s="50" t="s">
        <v>86</v>
      </c>
    </row>
    <row r="22" spans="1:16" ht="12.75" customHeight="1" thickBot="1" x14ac:dyDescent="0.25">
      <c r="A22" s="10" t="str">
        <f t="shared" si="0"/>
        <v>VSB 43 </v>
      </c>
      <c r="B22" s="3" t="str">
        <f t="shared" si="1"/>
        <v>II</v>
      </c>
      <c r="C22" s="10">
        <f t="shared" si="2"/>
        <v>53286.154000000002</v>
      </c>
      <c r="D22" s="16" t="str">
        <f t="shared" si="3"/>
        <v>vis</v>
      </c>
      <c r="E22" s="46">
        <f>VLOOKUP(C22,Active!C$21:E$970,3,FALSE)</f>
        <v>-813.50234805688785</v>
      </c>
      <c r="F22" s="3" t="s">
        <v>59</v>
      </c>
      <c r="G22" s="16" t="str">
        <f t="shared" si="4"/>
        <v>53286.1540</v>
      </c>
      <c r="H22" s="10">
        <f t="shared" si="5"/>
        <v>1783.5</v>
      </c>
      <c r="I22" s="47" t="s">
        <v>87</v>
      </c>
      <c r="J22" s="48" t="s">
        <v>88</v>
      </c>
      <c r="K22" s="47">
        <v>1783.5</v>
      </c>
      <c r="L22" s="47" t="s">
        <v>89</v>
      </c>
      <c r="M22" s="48" t="s">
        <v>75</v>
      </c>
      <c r="N22" s="48" t="s">
        <v>76</v>
      </c>
      <c r="O22" s="49" t="s">
        <v>71</v>
      </c>
      <c r="P22" s="50" t="s">
        <v>90</v>
      </c>
    </row>
    <row r="23" spans="1:16" ht="12.75" customHeight="1" thickBot="1" x14ac:dyDescent="0.25">
      <c r="A23" s="10" t="str">
        <f t="shared" si="0"/>
        <v>VSB 43 </v>
      </c>
      <c r="B23" s="3" t="str">
        <f t="shared" si="1"/>
        <v>I</v>
      </c>
      <c r="C23" s="10">
        <f t="shared" si="2"/>
        <v>53322.076999999997</v>
      </c>
      <c r="D23" s="16" t="str">
        <f t="shared" si="3"/>
        <v>vis</v>
      </c>
      <c r="E23" s="46">
        <f>VLOOKUP(C23,Active!C$21:E$970,3,FALSE)</f>
        <v>-732.00549014269916</v>
      </c>
      <c r="F23" s="3" t="s">
        <v>59</v>
      </c>
      <c r="G23" s="16" t="str">
        <f t="shared" si="4"/>
        <v>53322.077</v>
      </c>
      <c r="H23" s="10">
        <f t="shared" si="5"/>
        <v>1865</v>
      </c>
      <c r="I23" s="47" t="s">
        <v>91</v>
      </c>
      <c r="J23" s="48" t="s">
        <v>92</v>
      </c>
      <c r="K23" s="47">
        <v>1865</v>
      </c>
      <c r="L23" s="47" t="s">
        <v>93</v>
      </c>
      <c r="M23" s="48" t="s">
        <v>94</v>
      </c>
      <c r="N23" s="48"/>
      <c r="O23" s="49" t="s">
        <v>95</v>
      </c>
      <c r="P23" s="50" t="s">
        <v>90</v>
      </c>
    </row>
    <row r="24" spans="1:16" ht="12.75" customHeight="1" thickBot="1" x14ac:dyDescent="0.25">
      <c r="A24" s="10" t="str">
        <f t="shared" si="0"/>
        <v>VSB 43 </v>
      </c>
      <c r="B24" s="3" t="str">
        <f t="shared" si="1"/>
        <v>I</v>
      </c>
      <c r="C24" s="10">
        <f t="shared" si="2"/>
        <v>53326.046999999999</v>
      </c>
      <c r="D24" s="16" t="str">
        <f t="shared" si="3"/>
        <v>vis</v>
      </c>
      <c r="E24" s="46">
        <f>VLOOKUP(C24,Active!C$21:E$970,3,FALSE)</f>
        <v>-722.99893373261455</v>
      </c>
      <c r="F24" s="3" t="s">
        <v>59</v>
      </c>
      <c r="G24" s="16" t="str">
        <f t="shared" si="4"/>
        <v>53326.047</v>
      </c>
      <c r="H24" s="10">
        <f t="shared" si="5"/>
        <v>1874</v>
      </c>
      <c r="I24" s="47" t="s">
        <v>96</v>
      </c>
      <c r="J24" s="48" t="s">
        <v>97</v>
      </c>
      <c r="K24" s="47">
        <v>1874</v>
      </c>
      <c r="L24" s="47" t="s">
        <v>98</v>
      </c>
      <c r="M24" s="48" t="s">
        <v>94</v>
      </c>
      <c r="N24" s="48"/>
      <c r="O24" s="49" t="s">
        <v>95</v>
      </c>
      <c r="P24" s="50" t="s">
        <v>90</v>
      </c>
    </row>
    <row r="25" spans="1:16" ht="12.75" customHeight="1" thickBot="1" x14ac:dyDescent="0.25">
      <c r="A25" s="10" t="str">
        <f t="shared" si="0"/>
        <v>VSB 44 </v>
      </c>
      <c r="B25" s="3" t="str">
        <f t="shared" si="1"/>
        <v>I</v>
      </c>
      <c r="C25" s="10">
        <f t="shared" si="2"/>
        <v>53604.182800000002</v>
      </c>
      <c r="D25" s="16" t="str">
        <f t="shared" si="3"/>
        <v>vis</v>
      </c>
      <c r="E25" s="46">
        <f>VLOOKUP(C25,Active!C$21:E$970,3,FALSE)</f>
        <v>-92.005036411886707</v>
      </c>
      <c r="F25" s="3" t="s">
        <v>59</v>
      </c>
      <c r="G25" s="16" t="str">
        <f t="shared" si="4"/>
        <v>53604.1828</v>
      </c>
      <c r="H25" s="10">
        <f t="shared" si="5"/>
        <v>2505</v>
      </c>
      <c r="I25" s="47" t="s">
        <v>117</v>
      </c>
      <c r="J25" s="48" t="s">
        <v>118</v>
      </c>
      <c r="K25" s="47" t="s">
        <v>119</v>
      </c>
      <c r="L25" s="47" t="s">
        <v>101</v>
      </c>
      <c r="M25" s="48" t="s">
        <v>75</v>
      </c>
      <c r="N25" s="48" t="s">
        <v>76</v>
      </c>
      <c r="O25" s="49" t="s">
        <v>66</v>
      </c>
      <c r="P25" s="50" t="s">
        <v>120</v>
      </c>
    </row>
    <row r="26" spans="1:16" ht="12.75" customHeight="1" thickBot="1" x14ac:dyDescent="0.25">
      <c r="A26" s="10" t="str">
        <f t="shared" si="0"/>
        <v>VSB 44 </v>
      </c>
      <c r="B26" s="3" t="str">
        <f t="shared" si="1"/>
        <v>I</v>
      </c>
      <c r="C26" s="10">
        <f t="shared" si="2"/>
        <v>53676.030700000003</v>
      </c>
      <c r="D26" s="16" t="str">
        <f t="shared" si="3"/>
        <v>vis</v>
      </c>
      <c r="E26" s="46">
        <f>VLOOKUP(C26,Active!C$21:E$970,3,FALSE)</f>
        <v>70.992989859128201</v>
      </c>
      <c r="F26" s="3" t="s">
        <v>59</v>
      </c>
      <c r="G26" s="16" t="str">
        <f t="shared" si="4"/>
        <v>53676.0307</v>
      </c>
      <c r="H26" s="10">
        <f t="shared" si="5"/>
        <v>2668</v>
      </c>
      <c r="I26" s="47" t="s">
        <v>121</v>
      </c>
      <c r="J26" s="48" t="s">
        <v>122</v>
      </c>
      <c r="K26" s="47" t="s">
        <v>123</v>
      </c>
      <c r="L26" s="47" t="s">
        <v>124</v>
      </c>
      <c r="M26" s="48" t="s">
        <v>75</v>
      </c>
      <c r="N26" s="48" t="s">
        <v>76</v>
      </c>
      <c r="O26" s="49" t="s">
        <v>71</v>
      </c>
      <c r="P26" s="50" t="s">
        <v>120</v>
      </c>
    </row>
    <row r="27" spans="1:16" ht="12.75" customHeight="1" thickBot="1" x14ac:dyDescent="0.25">
      <c r="A27" s="10" t="str">
        <f t="shared" si="0"/>
        <v>VSB 44 </v>
      </c>
      <c r="B27" s="3" t="str">
        <f t="shared" si="1"/>
        <v>I</v>
      </c>
      <c r="C27" s="10">
        <f t="shared" si="2"/>
        <v>53683.082999999999</v>
      </c>
      <c r="D27" s="16" t="str">
        <f t="shared" si="3"/>
        <v>vis</v>
      </c>
      <c r="E27" s="46">
        <f>VLOOKUP(C27,Active!C$21:E$970,3,FALSE)</f>
        <v>86.992218516755955</v>
      </c>
      <c r="F27" s="3" t="s">
        <v>59</v>
      </c>
      <c r="G27" s="16" t="str">
        <f t="shared" si="4"/>
        <v>53683.083</v>
      </c>
      <c r="H27" s="10">
        <f t="shared" si="5"/>
        <v>2684</v>
      </c>
      <c r="I27" s="47" t="s">
        <v>125</v>
      </c>
      <c r="J27" s="48" t="s">
        <v>126</v>
      </c>
      <c r="K27" s="47" t="s">
        <v>127</v>
      </c>
      <c r="L27" s="47" t="s">
        <v>128</v>
      </c>
      <c r="M27" s="48" t="s">
        <v>94</v>
      </c>
      <c r="N27" s="48"/>
      <c r="O27" s="49" t="s">
        <v>95</v>
      </c>
      <c r="P27" s="50" t="s">
        <v>120</v>
      </c>
    </row>
    <row r="28" spans="1:16" ht="12.75" customHeight="1" thickBot="1" x14ac:dyDescent="0.25">
      <c r="A28" s="10" t="str">
        <f t="shared" si="0"/>
        <v>VSB 44 </v>
      </c>
      <c r="B28" s="3" t="str">
        <f t="shared" si="1"/>
        <v>I</v>
      </c>
      <c r="C28" s="10">
        <f t="shared" si="2"/>
        <v>53683.083299999998</v>
      </c>
      <c r="D28" s="16" t="str">
        <f t="shared" si="3"/>
        <v>vis</v>
      </c>
      <c r="E28" s="46">
        <f>VLOOKUP(C28,Active!C$21:E$970,3,FALSE)</f>
        <v>86.992899112957545</v>
      </c>
      <c r="F28" s="3" t="s">
        <v>59</v>
      </c>
      <c r="G28" s="16" t="str">
        <f t="shared" si="4"/>
        <v>53683.0833</v>
      </c>
      <c r="H28" s="10">
        <f t="shared" si="5"/>
        <v>2684</v>
      </c>
      <c r="I28" s="47" t="s">
        <v>129</v>
      </c>
      <c r="J28" s="48" t="s">
        <v>126</v>
      </c>
      <c r="K28" s="47" t="s">
        <v>127</v>
      </c>
      <c r="L28" s="47" t="s">
        <v>124</v>
      </c>
      <c r="M28" s="48" t="s">
        <v>75</v>
      </c>
      <c r="N28" s="48" t="s">
        <v>76</v>
      </c>
      <c r="O28" s="49" t="s">
        <v>71</v>
      </c>
      <c r="P28" s="50" t="s">
        <v>120</v>
      </c>
    </row>
    <row r="29" spans="1:16" ht="12.75" customHeight="1" thickBot="1" x14ac:dyDescent="0.25">
      <c r="A29" s="10" t="str">
        <f t="shared" si="0"/>
        <v>IBVS 5806 </v>
      </c>
      <c r="B29" s="3" t="str">
        <f t="shared" si="1"/>
        <v>II</v>
      </c>
      <c r="C29" s="10">
        <f t="shared" si="2"/>
        <v>53994.941899999998</v>
      </c>
      <c r="D29" s="16" t="str">
        <f t="shared" si="3"/>
        <v>vis</v>
      </c>
      <c r="E29" s="46" t="e">
        <f>VLOOKUP(C29,Active!C$21:E$970,3,FALSE)</f>
        <v>#N/A</v>
      </c>
      <c r="F29" s="3" t="s">
        <v>59</v>
      </c>
      <c r="G29" s="16" t="str">
        <f t="shared" si="4"/>
        <v>53994.9419</v>
      </c>
      <c r="H29" s="10">
        <f t="shared" si="5"/>
        <v>3391.5</v>
      </c>
      <c r="I29" s="47" t="s">
        <v>130</v>
      </c>
      <c r="J29" s="48" t="s">
        <v>131</v>
      </c>
      <c r="K29" s="47" t="s">
        <v>132</v>
      </c>
      <c r="L29" s="47" t="s">
        <v>133</v>
      </c>
      <c r="M29" s="48" t="s">
        <v>64</v>
      </c>
      <c r="N29" s="48" t="s">
        <v>134</v>
      </c>
      <c r="O29" s="49" t="s">
        <v>109</v>
      </c>
      <c r="P29" s="50" t="s">
        <v>135</v>
      </c>
    </row>
    <row r="30" spans="1:16" ht="12.75" customHeight="1" thickBot="1" x14ac:dyDescent="0.25">
      <c r="A30" s="10" t="str">
        <f t="shared" si="0"/>
        <v>VSB 45 </v>
      </c>
      <c r="B30" s="3" t="str">
        <f t="shared" si="1"/>
        <v>I</v>
      </c>
      <c r="C30" s="10">
        <f t="shared" si="2"/>
        <v>54048.0599</v>
      </c>
      <c r="D30" s="16" t="str">
        <f t="shared" si="3"/>
        <v>vis</v>
      </c>
      <c r="E30" s="46">
        <f>VLOOKUP(C30,Active!C$21:E$970,3,FALSE)</f>
        <v>914.9985253749004</v>
      </c>
      <c r="F30" s="3" t="s">
        <v>59</v>
      </c>
      <c r="G30" s="16" t="str">
        <f t="shared" si="4"/>
        <v>54048.0599</v>
      </c>
      <c r="H30" s="10">
        <f t="shared" si="5"/>
        <v>3512</v>
      </c>
      <c r="I30" s="47" t="s">
        <v>139</v>
      </c>
      <c r="J30" s="48" t="s">
        <v>140</v>
      </c>
      <c r="K30" s="47" t="s">
        <v>141</v>
      </c>
      <c r="L30" s="47" t="s">
        <v>142</v>
      </c>
      <c r="M30" s="48" t="s">
        <v>75</v>
      </c>
      <c r="N30" s="48" t="s">
        <v>76</v>
      </c>
      <c r="O30" s="49" t="s">
        <v>143</v>
      </c>
      <c r="P30" s="50" t="s">
        <v>144</v>
      </c>
    </row>
    <row r="31" spans="1:16" ht="12.75" customHeight="1" thickBot="1" x14ac:dyDescent="0.25">
      <c r="A31" s="10" t="str">
        <f t="shared" si="0"/>
        <v>VSB 46 </v>
      </c>
      <c r="B31" s="3" t="str">
        <f t="shared" si="1"/>
        <v>I</v>
      </c>
      <c r="C31" s="10">
        <f t="shared" si="2"/>
        <v>54130.925600000002</v>
      </c>
      <c r="D31" s="16" t="str">
        <f t="shared" si="3"/>
        <v>vis</v>
      </c>
      <c r="E31" s="46">
        <f>VLOOKUP(C31,Active!C$21:E$970,3,FALSE)</f>
        <v>1102.9921277706037</v>
      </c>
      <c r="F31" s="3" t="s">
        <v>59</v>
      </c>
      <c r="G31" s="16" t="str">
        <f t="shared" si="4"/>
        <v>54130.9256</v>
      </c>
      <c r="H31" s="10">
        <f t="shared" si="5"/>
        <v>3700</v>
      </c>
      <c r="I31" s="47" t="s">
        <v>145</v>
      </c>
      <c r="J31" s="48" t="s">
        <v>146</v>
      </c>
      <c r="K31" s="47" t="s">
        <v>147</v>
      </c>
      <c r="L31" s="47" t="s">
        <v>148</v>
      </c>
      <c r="M31" s="48" t="s">
        <v>64</v>
      </c>
      <c r="N31" s="48" t="s">
        <v>65</v>
      </c>
      <c r="O31" s="49" t="s">
        <v>149</v>
      </c>
      <c r="P31" s="50" t="s">
        <v>150</v>
      </c>
    </row>
    <row r="32" spans="1:16" ht="12.75" customHeight="1" thickBot="1" x14ac:dyDescent="0.25">
      <c r="A32" s="10" t="str">
        <f t="shared" si="0"/>
        <v>VSB 48 </v>
      </c>
      <c r="B32" s="3" t="str">
        <f t="shared" si="1"/>
        <v>II</v>
      </c>
      <c r="C32" s="10">
        <f t="shared" si="2"/>
        <v>54802.027900000001</v>
      </c>
      <c r="D32" s="16" t="str">
        <f t="shared" si="3"/>
        <v>vis</v>
      </c>
      <c r="E32" s="46">
        <f>VLOOKUP(C32,Active!C$21:E$970,3,FALSE)</f>
        <v>2625.491050159947</v>
      </c>
      <c r="F32" s="3" t="s">
        <v>59</v>
      </c>
      <c r="G32" s="16" t="str">
        <f t="shared" si="4"/>
        <v>54802.0279</v>
      </c>
      <c r="H32" s="10">
        <f t="shared" si="5"/>
        <v>5222.5</v>
      </c>
      <c r="I32" s="47" t="s">
        <v>151</v>
      </c>
      <c r="J32" s="48" t="s">
        <v>152</v>
      </c>
      <c r="K32" s="47" t="s">
        <v>153</v>
      </c>
      <c r="L32" s="47" t="s">
        <v>154</v>
      </c>
      <c r="M32" s="48" t="s">
        <v>64</v>
      </c>
      <c r="N32" s="48" t="s">
        <v>65</v>
      </c>
      <c r="O32" s="49" t="s">
        <v>149</v>
      </c>
      <c r="P32" s="50" t="s">
        <v>155</v>
      </c>
    </row>
    <row r="33" spans="1:16" ht="12.75" customHeight="1" thickBot="1" x14ac:dyDescent="0.25">
      <c r="A33" s="10" t="str">
        <f t="shared" si="0"/>
        <v>VSB 51 </v>
      </c>
      <c r="B33" s="3" t="str">
        <f t="shared" si="1"/>
        <v>II</v>
      </c>
      <c r="C33" s="10">
        <f t="shared" si="2"/>
        <v>55554.894099999998</v>
      </c>
      <c r="D33" s="16" t="str">
        <f t="shared" si="3"/>
        <v>vis</v>
      </c>
      <c r="E33" s="46">
        <f>VLOOKUP(C33,Active!C$21:E$970,3,FALSE)</f>
        <v>4333.4839719594356</v>
      </c>
      <c r="F33" s="3" t="s">
        <v>59</v>
      </c>
      <c r="G33" s="16" t="str">
        <f t="shared" si="4"/>
        <v>55554.8941</v>
      </c>
      <c r="H33" s="10">
        <f t="shared" si="5"/>
        <v>6930.5</v>
      </c>
      <c r="I33" s="47" t="s">
        <v>161</v>
      </c>
      <c r="J33" s="48" t="s">
        <v>162</v>
      </c>
      <c r="K33" s="47" t="s">
        <v>163</v>
      </c>
      <c r="L33" s="47" t="s">
        <v>164</v>
      </c>
      <c r="M33" s="48" t="s">
        <v>64</v>
      </c>
      <c r="N33" s="48" t="s">
        <v>65</v>
      </c>
      <c r="O33" s="49" t="s">
        <v>71</v>
      </c>
      <c r="P33" s="50" t="s">
        <v>165</v>
      </c>
    </row>
    <row r="34" spans="1:16" ht="12.75" customHeight="1" thickBot="1" x14ac:dyDescent="0.25">
      <c r="A34" s="10" t="str">
        <f t="shared" si="0"/>
        <v>VSB 53 </v>
      </c>
      <c r="B34" s="3" t="str">
        <f t="shared" si="1"/>
        <v>II</v>
      </c>
      <c r="C34" s="10">
        <f t="shared" si="2"/>
        <v>55881.957999999999</v>
      </c>
      <c r="D34" s="16" t="str">
        <f t="shared" si="3"/>
        <v>vis</v>
      </c>
      <c r="E34" s="46">
        <f>VLOOKUP(C34,Active!C$21:E$970,3,FALSE)</f>
        <v>5075.4787994283006</v>
      </c>
      <c r="F34" s="3" t="s">
        <v>59</v>
      </c>
      <c r="G34" s="16" t="str">
        <f t="shared" si="4"/>
        <v>55881.958</v>
      </c>
      <c r="H34" s="10">
        <f t="shared" si="5"/>
        <v>7672.5</v>
      </c>
      <c r="I34" s="47" t="s">
        <v>171</v>
      </c>
      <c r="J34" s="48" t="s">
        <v>172</v>
      </c>
      <c r="K34" s="47" t="s">
        <v>173</v>
      </c>
      <c r="L34" s="47" t="s">
        <v>174</v>
      </c>
      <c r="M34" s="48" t="s">
        <v>64</v>
      </c>
      <c r="N34" s="48" t="s">
        <v>65</v>
      </c>
      <c r="O34" s="49" t="s">
        <v>71</v>
      </c>
      <c r="P34" s="50" t="s">
        <v>175</v>
      </c>
    </row>
    <row r="35" spans="1:16" ht="12.75" customHeight="1" thickBot="1" x14ac:dyDescent="0.25">
      <c r="A35" s="10" t="str">
        <f t="shared" si="0"/>
        <v>VSB 55 </v>
      </c>
      <c r="B35" s="3" t="str">
        <f t="shared" si="1"/>
        <v>II</v>
      </c>
      <c r="C35" s="10">
        <f t="shared" si="2"/>
        <v>56287.928399999997</v>
      </c>
      <c r="D35" s="16" t="str">
        <f t="shared" si="3"/>
        <v>vis</v>
      </c>
      <c r="E35" s="46">
        <f>VLOOKUP(C35,Active!C$21:E$970,3,FALSE)</f>
        <v>5996.4851743460586</v>
      </c>
      <c r="F35" s="3" t="s">
        <v>59</v>
      </c>
      <c r="G35" s="16" t="str">
        <f t="shared" si="4"/>
        <v>56287.9284</v>
      </c>
      <c r="H35" s="10">
        <f t="shared" si="5"/>
        <v>8593.5</v>
      </c>
      <c r="I35" s="47" t="s">
        <v>176</v>
      </c>
      <c r="J35" s="48" t="s">
        <v>177</v>
      </c>
      <c r="K35" s="47" t="s">
        <v>178</v>
      </c>
      <c r="L35" s="47" t="s">
        <v>179</v>
      </c>
      <c r="M35" s="48" t="s">
        <v>64</v>
      </c>
      <c r="N35" s="48" t="s">
        <v>65</v>
      </c>
      <c r="O35" s="49" t="s">
        <v>71</v>
      </c>
      <c r="P35" s="50" t="s">
        <v>180</v>
      </c>
    </row>
    <row r="36" spans="1:16" ht="12.75" customHeight="1" thickBot="1" x14ac:dyDescent="0.25">
      <c r="A36" s="10" t="str">
        <f t="shared" si="0"/>
        <v>VSB 56 </v>
      </c>
      <c r="B36" s="3" t="str">
        <f t="shared" si="1"/>
        <v>II</v>
      </c>
      <c r="C36" s="10">
        <f t="shared" si="2"/>
        <v>56596.039599999996</v>
      </c>
      <c r="D36" s="16" t="str">
        <f t="shared" si="3"/>
        <v>vis</v>
      </c>
      <c r="E36" s="46">
        <f>VLOOKUP(C36,Active!C$21:E$970,3,FALSE)</f>
        <v>6695.4828830055094</v>
      </c>
      <c r="F36" s="3" t="s">
        <v>59</v>
      </c>
      <c r="G36" s="16" t="str">
        <f t="shared" si="4"/>
        <v>56596.0396</v>
      </c>
      <c r="H36" s="10">
        <f t="shared" si="5"/>
        <v>9292.5</v>
      </c>
      <c r="I36" s="47" t="s">
        <v>181</v>
      </c>
      <c r="J36" s="48" t="s">
        <v>182</v>
      </c>
      <c r="K36" s="47" t="s">
        <v>183</v>
      </c>
      <c r="L36" s="47" t="s">
        <v>184</v>
      </c>
      <c r="M36" s="48" t="s">
        <v>64</v>
      </c>
      <c r="N36" s="48" t="s">
        <v>65</v>
      </c>
      <c r="O36" s="49" t="s">
        <v>71</v>
      </c>
      <c r="P36" s="50" t="s">
        <v>185</v>
      </c>
    </row>
    <row r="37" spans="1:16" ht="12.75" customHeight="1" thickBot="1" x14ac:dyDescent="0.25">
      <c r="A37" s="10" t="str">
        <f t="shared" si="0"/>
        <v>VSB 56 </v>
      </c>
      <c r="B37" s="3" t="str">
        <f t="shared" si="1"/>
        <v>I</v>
      </c>
      <c r="C37" s="10">
        <f t="shared" si="2"/>
        <v>56601.990899999997</v>
      </c>
      <c r="D37" s="16" t="str">
        <f t="shared" si="3"/>
        <v>vis</v>
      </c>
      <c r="E37" s="46">
        <f>VLOOKUP(C37,Active!C$21:E$970,3,FALSE)</f>
        <v>6708.9843236008055</v>
      </c>
      <c r="F37" s="3" t="s">
        <v>59</v>
      </c>
      <c r="G37" s="16" t="str">
        <f t="shared" si="4"/>
        <v>56601.9909</v>
      </c>
      <c r="H37" s="10">
        <f t="shared" si="5"/>
        <v>9306</v>
      </c>
      <c r="I37" s="47" t="s">
        <v>186</v>
      </c>
      <c r="J37" s="48" t="s">
        <v>187</v>
      </c>
      <c r="K37" s="47" t="s">
        <v>188</v>
      </c>
      <c r="L37" s="47" t="s">
        <v>189</v>
      </c>
      <c r="M37" s="48" t="s">
        <v>64</v>
      </c>
      <c r="N37" s="48" t="s">
        <v>65</v>
      </c>
      <c r="O37" s="49" t="s">
        <v>71</v>
      </c>
      <c r="P37" s="50" t="s">
        <v>185</v>
      </c>
    </row>
    <row r="38" spans="1:16" ht="12.75" customHeight="1" thickBot="1" x14ac:dyDescent="0.25">
      <c r="A38" s="10" t="str">
        <f t="shared" si="0"/>
        <v>VSB 56 </v>
      </c>
      <c r="B38" s="3" t="str">
        <f t="shared" si="1"/>
        <v>II</v>
      </c>
      <c r="C38" s="10">
        <f t="shared" si="2"/>
        <v>56603.977200000001</v>
      </c>
      <c r="D38" s="16" t="str">
        <f t="shared" si="3"/>
        <v>vis</v>
      </c>
      <c r="E38" s="46">
        <f>VLOOKUP(C38,Active!C$21:E$970,3,FALSE)</f>
        <v>6713.4905510560657</v>
      </c>
      <c r="F38" s="3" t="s">
        <v>59</v>
      </c>
      <c r="G38" s="16" t="str">
        <f t="shared" si="4"/>
        <v>56603.9772</v>
      </c>
      <c r="H38" s="10">
        <f t="shared" si="5"/>
        <v>9310.5</v>
      </c>
      <c r="I38" s="47" t="s">
        <v>190</v>
      </c>
      <c r="J38" s="48" t="s">
        <v>191</v>
      </c>
      <c r="K38" s="47" t="s">
        <v>192</v>
      </c>
      <c r="L38" s="47" t="s">
        <v>193</v>
      </c>
      <c r="M38" s="48" t="s">
        <v>64</v>
      </c>
      <c r="N38" s="48" t="s">
        <v>65</v>
      </c>
      <c r="O38" s="49" t="s">
        <v>71</v>
      </c>
      <c r="P38" s="50" t="s">
        <v>185</v>
      </c>
    </row>
    <row r="39" spans="1:16" ht="12.75" customHeight="1" thickBot="1" x14ac:dyDescent="0.25">
      <c r="A39" s="10" t="str">
        <f t="shared" si="0"/>
        <v>VSB 56 </v>
      </c>
      <c r="B39" s="3" t="str">
        <f t="shared" si="1"/>
        <v>II</v>
      </c>
      <c r="C39" s="10">
        <f t="shared" si="2"/>
        <v>56614.994200000001</v>
      </c>
      <c r="D39" s="16" t="str">
        <f t="shared" si="3"/>
        <v>vis</v>
      </c>
      <c r="E39" s="46">
        <f>VLOOKUP(C39,Active!C$21:E$970,3,FALSE)</f>
        <v>6738.4843122575448</v>
      </c>
      <c r="F39" s="3" t="s">
        <v>59</v>
      </c>
      <c r="G39" s="16" t="str">
        <f t="shared" si="4"/>
        <v>56614.9942</v>
      </c>
      <c r="H39" s="10">
        <f t="shared" si="5"/>
        <v>9335.5</v>
      </c>
      <c r="I39" s="47" t="s">
        <v>194</v>
      </c>
      <c r="J39" s="48" t="s">
        <v>195</v>
      </c>
      <c r="K39" s="47" t="s">
        <v>196</v>
      </c>
      <c r="L39" s="47" t="s">
        <v>197</v>
      </c>
      <c r="M39" s="48" t="s">
        <v>64</v>
      </c>
      <c r="N39" s="48" t="s">
        <v>65</v>
      </c>
      <c r="O39" s="49" t="s">
        <v>71</v>
      </c>
      <c r="P39" s="50" t="s">
        <v>185</v>
      </c>
    </row>
    <row r="40" spans="1:16" ht="12.75" customHeight="1" thickBot="1" x14ac:dyDescent="0.25">
      <c r="A40" s="10" t="str">
        <f t="shared" si="0"/>
        <v>VSB 59 </v>
      </c>
      <c r="B40" s="3" t="str">
        <f t="shared" si="1"/>
        <v>I</v>
      </c>
      <c r="C40" s="10">
        <f t="shared" si="2"/>
        <v>56955.064700000003</v>
      </c>
      <c r="D40" s="16" t="str">
        <f t="shared" si="3"/>
        <v>vis</v>
      </c>
      <c r="E40" s="46" t="e">
        <f>VLOOKUP(C40,Active!C$21:E$970,3,FALSE)</f>
        <v>#N/A</v>
      </c>
      <c r="F40" s="3" t="s">
        <v>59</v>
      </c>
      <c r="G40" s="16" t="str">
        <f t="shared" si="4"/>
        <v>56955.0647</v>
      </c>
      <c r="H40" s="10">
        <f t="shared" si="5"/>
        <v>10107</v>
      </c>
      <c r="I40" s="47" t="s">
        <v>198</v>
      </c>
      <c r="J40" s="48" t="s">
        <v>199</v>
      </c>
      <c r="K40" s="47" t="s">
        <v>200</v>
      </c>
      <c r="L40" s="47" t="s">
        <v>201</v>
      </c>
      <c r="M40" s="48" t="s">
        <v>64</v>
      </c>
      <c r="N40" s="48" t="s">
        <v>65</v>
      </c>
      <c r="O40" s="49" t="s">
        <v>71</v>
      </c>
      <c r="P40" s="50" t="s">
        <v>202</v>
      </c>
    </row>
    <row r="41" spans="1:16" ht="12.75" customHeight="1" thickBot="1" x14ac:dyDescent="0.25">
      <c r="A41" s="10" t="str">
        <f t="shared" si="0"/>
        <v>VSB 59 </v>
      </c>
      <c r="B41" s="3" t="str">
        <f t="shared" si="1"/>
        <v>II</v>
      </c>
      <c r="C41" s="10">
        <f t="shared" si="2"/>
        <v>56976.001600000003</v>
      </c>
      <c r="D41" s="16" t="str">
        <f t="shared" si="3"/>
        <v>vis</v>
      </c>
      <c r="E41" s="46" t="e">
        <f>VLOOKUP(C41,Active!C$21:E$970,3,FALSE)</f>
        <v>#N/A</v>
      </c>
      <c r="F41" s="3" t="s">
        <v>59</v>
      </c>
      <c r="G41" s="16" t="str">
        <f t="shared" si="4"/>
        <v>56976.0016</v>
      </c>
      <c r="H41" s="10">
        <f t="shared" si="5"/>
        <v>10154.5</v>
      </c>
      <c r="I41" s="47" t="s">
        <v>203</v>
      </c>
      <c r="J41" s="48" t="s">
        <v>204</v>
      </c>
      <c r="K41" s="47" t="s">
        <v>205</v>
      </c>
      <c r="L41" s="47" t="s">
        <v>206</v>
      </c>
      <c r="M41" s="48" t="s">
        <v>64</v>
      </c>
      <c r="N41" s="48" t="s">
        <v>65</v>
      </c>
      <c r="O41" s="49" t="s">
        <v>71</v>
      </c>
      <c r="P41" s="50" t="s">
        <v>202</v>
      </c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</sheetData>
  <phoneticPr fontId="8" type="noConversion"/>
  <hyperlinks>
    <hyperlink ref="P17" r:id="rId1" display="http://vsolj.cetus-net.org/no47.pdf" xr:uid="{00000000-0004-0000-0100-000000000000}"/>
    <hyperlink ref="P18" r:id="rId2" display="http://vsolj.cetus-net.org/no47.pdf" xr:uid="{00000000-0004-0000-0100-000001000000}"/>
    <hyperlink ref="P20" r:id="rId3" display="http://vsolj.cetus-net.org/no39.pdf" xr:uid="{00000000-0004-0000-0100-000002000000}"/>
    <hyperlink ref="P21" r:id="rId4" display="http://vsolj.cetus-net.org/no40.pdf" xr:uid="{00000000-0004-0000-0100-000003000000}"/>
    <hyperlink ref="P22" r:id="rId5" display="http://vsolj.cetus-net.org/no43.pdf" xr:uid="{00000000-0004-0000-0100-000004000000}"/>
    <hyperlink ref="P23" r:id="rId6" display="http://vsolj.cetus-net.org/no43.pdf" xr:uid="{00000000-0004-0000-0100-000005000000}"/>
    <hyperlink ref="P24" r:id="rId7" display="http://vsolj.cetus-net.org/no43.pdf" xr:uid="{00000000-0004-0000-0100-000006000000}"/>
    <hyperlink ref="P11" r:id="rId8" display="http://www.konkoly.hu/cgi-bin/IBVS?5843" xr:uid="{00000000-0004-0000-0100-000007000000}"/>
    <hyperlink ref="P12" r:id="rId9" display="http://www.konkoly.hu/cgi-bin/IBVS?5690" xr:uid="{00000000-0004-0000-0100-000008000000}"/>
    <hyperlink ref="P13" r:id="rId10" display="http://www.konkoly.hu/cgi-bin/IBVS?5677" xr:uid="{00000000-0004-0000-0100-000009000000}"/>
    <hyperlink ref="P25" r:id="rId11" display="http://vsolj.cetus-net.org/no44.pdf" xr:uid="{00000000-0004-0000-0100-00000A000000}"/>
    <hyperlink ref="P26" r:id="rId12" display="http://vsolj.cetus-net.org/no44.pdf" xr:uid="{00000000-0004-0000-0100-00000B000000}"/>
    <hyperlink ref="P27" r:id="rId13" display="http://vsolj.cetus-net.org/no44.pdf" xr:uid="{00000000-0004-0000-0100-00000C000000}"/>
    <hyperlink ref="P28" r:id="rId14" display="http://vsolj.cetus-net.org/no44.pdf" xr:uid="{00000000-0004-0000-0100-00000D000000}"/>
    <hyperlink ref="P29" r:id="rId15" display="http://www.konkoly.hu/cgi-bin/IBVS?5806" xr:uid="{00000000-0004-0000-0100-00000E000000}"/>
    <hyperlink ref="P14" r:id="rId16" display="http://www.konkoly.hu/cgi-bin/IBVS?5843" xr:uid="{00000000-0004-0000-0100-00000F000000}"/>
    <hyperlink ref="P30" r:id="rId17" display="http://vsolj.cetus-net.org/no45.pdf" xr:uid="{00000000-0004-0000-0100-000010000000}"/>
    <hyperlink ref="P31" r:id="rId18" display="http://vsolj.cetus-net.org/no46.pdf" xr:uid="{00000000-0004-0000-0100-000011000000}"/>
    <hyperlink ref="P32" r:id="rId19" display="http://vsolj.cetus-net.org/no48.pdf" xr:uid="{00000000-0004-0000-0100-000012000000}"/>
    <hyperlink ref="P15" r:id="rId20" display="http://www.konkoly.hu/cgi-bin/IBVS?5960" xr:uid="{00000000-0004-0000-0100-000013000000}"/>
    <hyperlink ref="P33" r:id="rId21" display="http://vsolj.cetus-net.org/vsoljno51.pdf" xr:uid="{00000000-0004-0000-0100-000014000000}"/>
    <hyperlink ref="P16" r:id="rId22" display="http://www.konkoly.hu/cgi-bin/IBVS?6011" xr:uid="{00000000-0004-0000-0100-000015000000}"/>
    <hyperlink ref="P34" r:id="rId23" display="http://vsolj.cetus-net.org/vsoljno53.pdf" xr:uid="{00000000-0004-0000-0100-000016000000}"/>
    <hyperlink ref="P35" r:id="rId24" display="http://vsolj.cetus-net.org/vsoljno55.pdf" xr:uid="{00000000-0004-0000-0100-000017000000}"/>
    <hyperlink ref="P36" r:id="rId25" display="http://vsolj.cetus-net.org/vsoljno56.pdf" xr:uid="{00000000-0004-0000-0100-000018000000}"/>
    <hyperlink ref="P37" r:id="rId26" display="http://vsolj.cetus-net.org/vsoljno56.pdf" xr:uid="{00000000-0004-0000-0100-000019000000}"/>
    <hyperlink ref="P38" r:id="rId27" display="http://vsolj.cetus-net.org/vsoljno56.pdf" xr:uid="{00000000-0004-0000-0100-00001A000000}"/>
    <hyperlink ref="P39" r:id="rId28" display="http://vsolj.cetus-net.org/vsoljno56.pdf" xr:uid="{00000000-0004-0000-0100-00001B000000}"/>
    <hyperlink ref="P40" r:id="rId29" display="http://vsolj.cetus-net.org/vsoljno59.pdf" xr:uid="{00000000-0004-0000-0100-00001C000000}"/>
    <hyperlink ref="P41" r:id="rId30" display="http://vsolj.cetus-net.org/vsoljno59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2024-07-16T04:10:36Z</dcterms:modified>
</cp:coreProperties>
</file>