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BED87A-074B-4BBD-B921-1EF4CCFBF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9" i="1" l="1"/>
  <c r="G30" i="1"/>
  <c r="E22" i="1"/>
  <c r="F22" i="1" s="1"/>
  <c r="G22" i="1" s="1"/>
  <c r="K22" i="1" s="1"/>
  <c r="Q22" i="1"/>
  <c r="C22" i="1"/>
  <c r="A22" i="1"/>
  <c r="F14" i="1"/>
  <c r="E41" i="1"/>
  <c r="F41" i="1" s="1"/>
  <c r="U41" i="1" s="1"/>
  <c r="Q41" i="1"/>
  <c r="E43" i="1"/>
  <c r="F43" i="1" s="1"/>
  <c r="G43" i="1" s="1"/>
  <c r="K43" i="1" s="1"/>
  <c r="Q43" i="1"/>
  <c r="E40" i="1"/>
  <c r="F40" i="1" s="1"/>
  <c r="G40" i="1" s="1"/>
  <c r="K40" i="1" s="1"/>
  <c r="Q40" i="1"/>
  <c r="Q42" i="1"/>
  <c r="Q39" i="1"/>
  <c r="Q36" i="1"/>
  <c r="Q37" i="1"/>
  <c r="Q38" i="1"/>
  <c r="Q33" i="1"/>
  <c r="Q35" i="1"/>
  <c r="Q34" i="1"/>
  <c r="D9" i="1"/>
  <c r="C9" i="1"/>
  <c r="Q29" i="1"/>
  <c r="Q30" i="1"/>
  <c r="G18" i="2"/>
  <c r="C18" i="2"/>
  <c r="G20" i="2"/>
  <c r="C20" i="2"/>
  <c r="G19" i="2"/>
  <c r="C19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D18" i="2"/>
  <c r="B18" i="2"/>
  <c r="A18" i="2"/>
  <c r="H20" i="2"/>
  <c r="D20" i="2"/>
  <c r="B20" i="2"/>
  <c r="A20" i="2"/>
  <c r="H19" i="2"/>
  <c r="D19" i="2"/>
  <c r="B19" i="2"/>
  <c r="A1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2" i="1"/>
  <c r="Q31" i="1"/>
  <c r="C17" i="1"/>
  <c r="Q23" i="1"/>
  <c r="Q24" i="1"/>
  <c r="Q25" i="1"/>
  <c r="Q26" i="1"/>
  <c r="Q27" i="1"/>
  <c r="Q28" i="1"/>
  <c r="E38" i="1"/>
  <c r="F38" i="1" s="1"/>
  <c r="G38" i="1" s="1"/>
  <c r="I38" i="1" s="1"/>
  <c r="Q21" i="1"/>
  <c r="E21" i="1"/>
  <c r="F21" i="1" s="1"/>
  <c r="G21" i="1" s="1"/>
  <c r="J21" i="1" s="1"/>
  <c r="E34" i="1"/>
  <c r="F34" i="1" s="1"/>
  <c r="G34" i="1" s="1"/>
  <c r="K34" i="1" s="1"/>
  <c r="E30" i="1"/>
  <c r="F30" i="1" s="1"/>
  <c r="E31" i="1"/>
  <c r="F31" i="1" s="1"/>
  <c r="G31" i="1" s="1"/>
  <c r="K31" i="1" s="1"/>
  <c r="E36" i="1"/>
  <c r="F36" i="1" s="1"/>
  <c r="G36" i="1" s="1"/>
  <c r="K36" i="1" s="1"/>
  <c r="E26" i="1"/>
  <c r="E15" i="2" s="1"/>
  <c r="E33" i="1"/>
  <c r="F33" i="1" s="1"/>
  <c r="G33" i="1" s="1"/>
  <c r="K33" i="1" s="1"/>
  <c r="E24" i="1"/>
  <c r="F24" i="1" s="1"/>
  <c r="G24" i="1" s="1"/>
  <c r="K24" i="1" s="1"/>
  <c r="E29" i="1"/>
  <c r="E19" i="2" s="1"/>
  <c r="E28" i="1"/>
  <c r="F28" i="1" s="1"/>
  <c r="G28" i="1" s="1"/>
  <c r="J28" i="1" s="1"/>
  <c r="E37" i="1"/>
  <c r="F37" i="1" s="1"/>
  <c r="G37" i="1" s="1"/>
  <c r="I37" i="1" s="1"/>
  <c r="E25" i="1"/>
  <c r="F25" i="1" s="1"/>
  <c r="G25" i="1" s="1"/>
  <c r="J25" i="1" s="1"/>
  <c r="E35" i="1"/>
  <c r="F35" i="1" s="1"/>
  <c r="G35" i="1" s="1"/>
  <c r="K35" i="1" s="1"/>
  <c r="E32" i="1"/>
  <c r="F32" i="1" s="1"/>
  <c r="G32" i="1" s="1"/>
  <c r="K32" i="1" s="1"/>
  <c r="E23" i="1"/>
  <c r="E12" i="2" s="1"/>
  <c r="E39" i="1"/>
  <c r="F39" i="1" s="1"/>
  <c r="G39" i="1" s="1"/>
  <c r="K39" i="1" s="1"/>
  <c r="E42" i="1"/>
  <c r="F42" i="1" s="1"/>
  <c r="G42" i="1" s="1"/>
  <c r="K42" i="1" s="1"/>
  <c r="E27" i="1"/>
  <c r="F27" i="1" s="1"/>
  <c r="G27" i="1" s="1"/>
  <c r="J27" i="1" s="1"/>
  <c r="E20" i="2"/>
  <c r="F23" i="1" l="1"/>
  <c r="G23" i="1" s="1"/>
  <c r="K23" i="1" s="1"/>
  <c r="E14" i="2"/>
  <c r="E16" i="2"/>
  <c r="E13" i="2"/>
  <c r="E17" i="2"/>
  <c r="F15" i="1"/>
  <c r="E18" i="2"/>
  <c r="E11" i="2"/>
  <c r="F29" i="1"/>
  <c r="F26" i="1"/>
  <c r="G26" i="1" s="1"/>
  <c r="C12" i="1"/>
  <c r="C11" i="1"/>
  <c r="O22" i="1" l="1"/>
  <c r="O41" i="1"/>
  <c r="O43" i="1"/>
  <c r="C16" i="1"/>
  <c r="D18" i="1" s="1"/>
  <c r="O34" i="1"/>
  <c r="O25" i="1"/>
  <c r="O40" i="1"/>
  <c r="O26" i="1"/>
  <c r="C15" i="1"/>
  <c r="O21" i="1"/>
  <c r="O37" i="1"/>
  <c r="O31" i="1"/>
  <c r="O38" i="1"/>
  <c r="O23" i="1"/>
  <c r="O35" i="1"/>
  <c r="O33" i="1"/>
  <c r="O27" i="1"/>
  <c r="O32" i="1"/>
  <c r="O24" i="1"/>
  <c r="O28" i="1"/>
  <c r="O29" i="1"/>
  <c r="O42" i="1"/>
  <c r="O36" i="1"/>
  <c r="O30" i="1"/>
  <c r="O39" i="1"/>
  <c r="K26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<sst xmlns="http://schemas.openxmlformats.org/spreadsheetml/2006/main" count="190" uniqueCount="119">
  <si>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</si>
  <si>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</si>
  <si>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</si>
  <si>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</si>
  <si>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</si>
  <si>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</si>
  <si>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</si>
  <si>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</si>
  <si>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</si>
  <si>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</si>
  <si>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</si>
  <si>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</si>
  <si>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</si>
  <si>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</si>
  <si>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</si>
  <si>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</si>
  <si>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</si>
  <si>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</si>
  <si>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</si>
  <si>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</si>
  <si>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</si>
  <si>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</si>
  <si>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</si>
  <si>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</si>
  <si>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</si>
  <si>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</si>
  <si>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</si>
  <si>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</si>
  <si>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</si>
  <si>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Misc</t>
  </si>
  <si>
    <t>IBVS</t>
  </si>
  <si>
    <t>not avail.</t>
  </si>
  <si>
    <t>IBVS 5341</t>
  </si>
  <si>
    <t>II</t>
  </si>
  <si>
    <t>IBVS 5606</t>
  </si>
  <si>
    <t>IBVS 5603</t>
  </si>
  <si>
    <t># of data points:</t>
  </si>
  <si>
    <t>EE Cet / GSC 0640-0622</t>
  </si>
  <si>
    <t>IBVS 5668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</si>
  <si>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</si>
  <si>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</si>
  <si>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</si>
  <si>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</si>
  <si>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</si>
  <si>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</si>
  <si>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OEJV 0160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</si>
  <si>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</si>
  <si>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</si>
  <si>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</si>
  <si>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</si>
  <si>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</si>
  <si>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</si>
  <si>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</si>
  <si>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</si>
  <si>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</si>
  <si>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</si>
  <si>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</si>
  <si>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</si>
  <si>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</si>
  <si>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</si>
  <si>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C </t>
  </si>
  <si>
    <t>Ic</t>
  </si>
  <si>
    <t>E </t>
  </si>
  <si>
    <t>?</t>
  </si>
  <si>
    <t> 0.0005 </t>
  </si>
  <si>
    <t> S.Dvorak </t>
  </si>
  <si>
    <t> K.Nakajima </t>
  </si>
  <si>
    <t>VSB 46 </t>
  </si>
  <si>
    <t>VSB 48 </t>
  </si>
  <si>
    <t> 0.0017 </t>
  </si>
  <si>
    <t>2452548.4392 </t>
  </si>
  <si>
    <t> 30.09.2002 22:32 </t>
  </si>
  <si>
    <t> 0.0033 </t>
  </si>
  <si>
    <t> T.Pribulla et al. </t>
  </si>
  <si>
    <t>IBVS 5341 </t>
  </si>
  <si>
    <t>2452956.4747 </t>
  </si>
  <si>
    <t> 12.11.2003 23:23 </t>
  </si>
  <si>
    <t> 0.0018 </t>
  </si>
  <si>
    <t>IBVS 5668 </t>
  </si>
  <si>
    <t>2453011.3742 </t>
  </si>
  <si>
    <t> 06.01.2004 20:58 </t>
  </si>
  <si>
    <t> 0.0025 </t>
  </si>
  <si>
    <t>2453262.5011 </t>
  </si>
  <si>
    <t> 14.09.2004 00:01 </t>
  </si>
  <si>
    <t> C.H.Porowski </t>
  </si>
  <si>
    <t>IBVS 5606 </t>
  </si>
  <si>
    <t>2453331.6475 </t>
  </si>
  <si>
    <t> 22.11.2004 03:32 </t>
  </si>
  <si>
    <t> 0.0009 </t>
  </si>
  <si>
    <t>IBVS 5603 </t>
  </si>
  <si>
    <t>2453345.3255 </t>
  </si>
  <si>
    <t> 05.12.2004 19:48 </t>
  </si>
  <si>
    <t>2453351.4036 </t>
  </si>
  <si>
    <t> 11.12.2004 21:41 </t>
  </si>
  <si>
    <t> 0.0011 </t>
  </si>
  <si>
    <t>2454142.9678 </t>
  </si>
  <si>
    <t> 11.02.2007 11:13 </t>
  </si>
  <si>
    <t> -0.0037 </t>
  </si>
  <si>
    <t>2454808.0247 </t>
  </si>
  <si>
    <t> 07.12.2008 12:35 </t>
  </si>
  <si>
    <t> -0.0015 </t>
  </si>
  <si>
    <t>2456193.60881 </t>
  </si>
  <si>
    <t> 23.09.2012 02:36 </t>
  </si>
  <si>
    <t> 0.00454 </t>
  </si>
  <si>
    <t> M.Mašek </t>
  </si>
  <si>
    <t>OEJV 0160 </t>
  </si>
  <si>
    <t>BAD?</t>
  </si>
  <si>
    <t>VSB_061</t>
  </si>
  <si>
    <t>OEJV 0179</t>
  </si>
  <si>
    <t>OEJV 0211</t>
  </si>
  <si>
    <t>RHN 2021</t>
  </si>
  <si>
    <t>JBAV, 63</t>
  </si>
  <si>
    <t>JBAV, 79</t>
  </si>
  <si>
    <t>OEJV 226</t>
  </si>
  <si>
    <t xml:space="preserve">Mag </t>
  </si>
  <si>
    <t>Next ToM-P</t>
  </si>
  <si>
    <t>Next ToM-S</t>
  </si>
  <si>
    <t>VSX</t>
  </si>
  <si>
    <t>8.821 (0.192)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</si>
</sst>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0"/>
    <numFmt numFmtId="166" formatCode="0.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2" fillId="24" borderId="19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17" fillId="0" borderId="0" xfId="43" applyFont="1" applyAlignment="1">
      <alignment vertical="center"/>
    </xf>
    <xf numFmtId="0" fontId="17" fillId="0" borderId="0" xfId="43" applyFont="1" applyAlignment="1">
      <alignment horizontal="center" vertical="center"/>
    </xf>
    <xf numFmtId="165" fontId="17" fillId="0" borderId="0" xfId="43" applyNumberFormat="1" applyFont="1" applyAlignment="1">
      <alignment horizontal="left" vertical="center"/>
    </xf>
    <xf numFmtId="0" fontId="17" fillId="0" borderId="0" xfId="43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165" fontId="38" fillId="0" borderId="0" xfId="42" applyNumberFormat="1" applyFont="1" applyAlignment="1">
      <alignment horizontal="left" vertical="center"/>
    </xf>
    <xf numFmtId="0" fontId="6" fillId="0" borderId="0" xfId="42" applyAlignment="1">
      <alignment horizontal="left" vertical="center"/>
    </xf>
    <xf numFmtId="0" fontId="38" fillId="0" borderId="0" xfId="42" applyFont="1" applyAlignment="1">
      <alignment horizontal="left" vertical="center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165" fontId="17" fillId="0" borderId="0" xfId="42" applyNumberFormat="1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165" fontId="39" fillId="0" borderId="0" xfId="42" applyNumberFormat="1" applyFont="1" applyAlignment="1">
      <alignment horizontal="left" vertical="center"/>
    </xf>
    <xf numFmtId="0" fontId="12" fillId="0" borderId="0" xfId="42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3" fontId="40" fillId="0" borderId="0" xfId="49" applyFont="1" applyBorder="1" applyAlignment="1">
      <alignment vertical="center"/>
    </xf>
    <xf numFmtId="0" fontId="4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38" fillId="0" borderId="0" xfId="42" applyNumberFormat="1" applyFont="1" applyAlignment="1">
      <alignment vertical="center"/>
    </xf>
    <xf numFmtId="0" fontId="17" fillId="0" borderId="0" xfId="42" applyNumberFormat="1" applyFont="1" applyAlignment="1">
      <alignment horizontal="left" vertical="center"/>
    </xf>
    <xf numFmtId="0" fontId="39" fillId="0" borderId="0" xfId="42" applyNumberFormat="1" applyFont="1" applyAlignment="1">
      <alignment vertical="center"/>
    </xf>
    <xf numFmtId="0" fontId="17" fillId="0" borderId="0" xfId="42" applyNumberFormat="1" applyFont="1" applyAlignment="1">
      <alignment vertical="center"/>
    </xf>
    <xf numFmtId="0" fontId="40" fillId="0" borderId="0" xfId="0" applyNumberFormat="1" applyFont="1" applyAlignment="1">
      <alignment vertical="center" wrapText="1"/>
    </xf>
    <xf numFmtId="0" fontId="40" fillId="0" borderId="0" xfId="0" applyNumberFormat="1" applyFont="1" applyAlignment="1" applyProtection="1">
      <alignment vertical="center" wrapText="1"/>
      <protection locked="0"/>
    </xf>
    <xf numFmtId="0" fontId="6" fillId="0" borderId="0" xfId="0" applyNumberFormat="1" applyFont="1" applyAlignment="1">
      <alignment vertical="center"/>
    </xf>
    <xf numFmtId="0" fontId="40" fillId="0" borderId="0" xfId="49" applyNumberFormat="1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25" borderId="20" xfId="0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3" fillId="0" borderId="22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Cet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52643.6011</c:v>
                  </c:pt>
                  <c:pt idx="2">
                    <c:v>52956.474699999999</c:v>
                  </c:pt>
                  <c:pt idx="3">
                    <c:v>53011.374199999998</c:v>
                  </c:pt>
                  <c:pt idx="4">
                    <c:v>53262.501100000001</c:v>
                  </c:pt>
                  <c:pt idx="5">
                    <c:v>53331.647499999999</c:v>
                  </c:pt>
                  <c:pt idx="6">
                    <c:v>53345.325499999999</c:v>
                  </c:pt>
                  <c:pt idx="7">
                    <c:v>53351.403599999998</c:v>
                  </c:pt>
                  <c:pt idx="8">
                    <c:v>54142.967799999999</c:v>
                  </c:pt>
                  <c:pt idx="9">
                    <c:v>54808.024700000002</c:v>
                  </c:pt>
                  <c:pt idx="10">
                    <c:v>56193.608809999998</c:v>
                  </c:pt>
                  <c:pt idx="11">
                    <c:v>56565.55444</c:v>
                  </c:pt>
                  <c:pt idx="12">
                    <c:v>56924.58107</c:v>
                  </c:pt>
                  <c:pt idx="13">
                    <c:v>57309.064699999988</c:v>
                  </c:pt>
                  <c:pt idx="14">
                    <c:v>57309.064699999988</c:v>
                  </c:pt>
                  <c:pt idx="15">
                    <c:v>57309.064700000003</c:v>
                  </c:pt>
                  <c:pt idx="16">
                    <c:v>57337.56</c:v>
                  </c:pt>
                  <c:pt idx="17">
                    <c:v>57722.42</c:v>
                  </c:pt>
                  <c:pt idx="18">
                    <c:v>58026.548369999975</c:v>
                  </c:pt>
                  <c:pt idx="19">
                    <c:v>59465.4977</c:v>
                  </c:pt>
                  <c:pt idx="20">
                    <c:v>59515.807000000001</c:v>
                  </c:pt>
                  <c:pt idx="21">
                    <c:v>59565.616000000002</c:v>
                  </c:pt>
                  <c:pt idx="22">
                    <c:v>59816.546200000215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52643.6011</c:v>
                  </c:pt>
                  <c:pt idx="2">
                    <c:v>52956.474699999999</c:v>
                  </c:pt>
                  <c:pt idx="3">
                    <c:v>53011.374199999998</c:v>
                  </c:pt>
                  <c:pt idx="4">
                    <c:v>53262.501100000001</c:v>
                  </c:pt>
                  <c:pt idx="5">
                    <c:v>53331.647499999999</c:v>
                  </c:pt>
                  <c:pt idx="6">
                    <c:v>53345.325499999999</c:v>
                  </c:pt>
                  <c:pt idx="7">
                    <c:v>53351.403599999998</c:v>
                  </c:pt>
                  <c:pt idx="8">
                    <c:v>54142.967799999999</c:v>
                  </c:pt>
                  <c:pt idx="9">
                    <c:v>54808.024700000002</c:v>
                  </c:pt>
                  <c:pt idx="10">
                    <c:v>56193.608809999998</c:v>
                  </c:pt>
                  <c:pt idx="11">
                    <c:v>56565.55444</c:v>
                  </c:pt>
                  <c:pt idx="12">
                    <c:v>56924.58107</c:v>
                  </c:pt>
                  <c:pt idx="13">
                    <c:v>57309.064699999988</c:v>
                  </c:pt>
                  <c:pt idx="14">
                    <c:v>57309.064699999988</c:v>
                  </c:pt>
                  <c:pt idx="15">
                    <c:v>57309.064700000003</c:v>
                  </c:pt>
                  <c:pt idx="16">
                    <c:v>57337.56</c:v>
                  </c:pt>
                  <c:pt idx="17">
                    <c:v>57722.42</c:v>
                  </c:pt>
                  <c:pt idx="18">
                    <c:v>58026.548369999975</c:v>
                  </c:pt>
                  <c:pt idx="19">
                    <c:v>59465.4977</c:v>
                  </c:pt>
                  <c:pt idx="20">
                    <c:v>59515.807000000001</c:v>
                  </c:pt>
                  <c:pt idx="21">
                    <c:v>59565.616000000002</c:v>
                  </c:pt>
                  <c:pt idx="22">
                    <c:v>59816.546200000215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B-4A54-AA1D-059BEA4CD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8.9999999999999998E-4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8">
                  <c:v>-7.3124999980791472E-3</c:v>
                </c:pt>
                <c:pt idx="9">
                  <c:v>-9.1249999968567863E-3</c:v>
                </c:pt>
                <c:pt idx="16">
                  <c:v>-1.4475000003585592E-2</c:v>
                </c:pt>
                <c:pt idx="17">
                  <c:v>-1.8500000005587935E-2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B-4A54-AA1D-059BEA4CD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0">
                  <c:v>9.3124999984866008E-3</c:v>
                </c:pt>
                <c:pt idx="4">
                  <c:v>2.17500000144355E-3</c:v>
                </c:pt>
                <c:pt idx="6">
                  <c:v>2.9250000006868504E-3</c:v>
                </c:pt>
                <c:pt idx="7">
                  <c:v>2.2249999965424649E-3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B-4A54-AA1D-059BEA4CD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">
                  <c:v>0</c:v>
                </c:pt>
                <c:pt idx="2">
                  <c:v>5.3625000000465661E-3</c:v>
                </c:pt>
                <c:pt idx="3">
                  <c:v>5.7000000015250407E-3</c:v>
                </c:pt>
                <c:pt idx="5">
                  <c:v>2.2249999965424649E-3</c:v>
                </c:pt>
                <c:pt idx="10">
                  <c:v>-1.1490000004414469E-2</c:v>
                </c:pt>
                <c:pt idx="11">
                  <c:v>-1.2434999996912666E-2</c:v>
                </c:pt>
                <c:pt idx="12">
                  <c:v>-1.4929999997548293E-2</c:v>
                </c:pt>
                <c:pt idx="13">
                  <c:v>-1.5400000011140946E-2</c:v>
                </c:pt>
                <c:pt idx="14">
                  <c:v>-1.5400000011140946E-2</c:v>
                </c:pt>
                <c:pt idx="15">
                  <c:v>-1.5399999996589031E-2</c:v>
                </c:pt>
                <c:pt idx="18">
                  <c:v>-2.0092500024475157E-2</c:v>
                </c:pt>
                <c:pt idx="19">
                  <c:v>-3.6700000004202593E-2</c:v>
                </c:pt>
                <c:pt idx="21">
                  <c:v>-2.8637499999604188E-2</c:v>
                </c:pt>
                <c:pt idx="22">
                  <c:v>-3.8899999781278893E-2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B-4A54-AA1D-059BEA4CD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B-4A54-AA1D-059BEA4CD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B-4A54-AA1D-059BEA4CD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B-4A54-AA1D-059BEA4CD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6.4868827262879857E-3</c:v>
                </c:pt>
                <c:pt idx="1">
                  <c:v>5.9879653268827999E-3</c:v>
                </c:pt>
                <c:pt idx="2">
                  <c:v>4.3478117204549752E-3</c:v>
                </c:pt>
                <c:pt idx="3">
                  <c:v>4.0600130609178518E-3</c:v>
                </c:pt>
                <c:pt idx="4">
                  <c:v>2.7435084660802169E-3</c:v>
                </c:pt>
                <c:pt idx="5">
                  <c:v>2.381021573099204E-3</c:v>
                </c:pt>
                <c:pt idx="6">
                  <c:v>2.3093208689930695E-3</c:v>
                </c:pt>
                <c:pt idx="7">
                  <c:v>2.2774538893903431E-3</c:v>
                </c:pt>
                <c:pt idx="8">
                  <c:v>-1.8722243607521873E-3</c:v>
                </c:pt>
                <c:pt idx="9">
                  <c:v>-5.3586710979129735E-3</c:v>
                </c:pt>
                <c:pt idx="10">
                  <c:v>-1.2622350761109426E-2</c:v>
                </c:pt>
                <c:pt idx="11">
                  <c:v>-1.4572211575551247E-2</c:v>
                </c:pt>
                <c:pt idx="12">
                  <c:v>-1.6454355058337276E-2</c:v>
                </c:pt>
                <c:pt idx="13">
                  <c:v>-1.8469941518209722E-2</c:v>
                </c:pt>
                <c:pt idx="14">
                  <c:v>-1.8469941518209722E-2</c:v>
                </c:pt>
                <c:pt idx="15">
                  <c:v>-1.8469941518209722E-2</c:v>
                </c:pt>
                <c:pt idx="16">
                  <c:v>-1.8619317985097503E-2</c:v>
                </c:pt>
                <c:pt idx="17">
                  <c:v>-2.0636896131195119E-2</c:v>
                </c:pt>
                <c:pt idx="18">
                  <c:v>-2.2231240954444023E-2</c:v>
                </c:pt>
                <c:pt idx="19">
                  <c:v>-2.9774752532276915E-2</c:v>
                </c:pt>
                <c:pt idx="20">
                  <c:v>-3.0038650957111997E-2</c:v>
                </c:pt>
                <c:pt idx="21">
                  <c:v>-3.0299561852609316E-2</c:v>
                </c:pt>
                <c:pt idx="22">
                  <c:v>-3.1615070604334369E-2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B-4A54-AA1D-059BEA4CD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5697</c:v>
                </c:pt>
                <c:pt idx="10">
                  <c:v>9344</c:v>
                </c:pt>
                <c:pt idx="11">
                  <c:v>10323</c:v>
                </c:pt>
                <c:pt idx="12">
                  <c:v>11268</c:v>
                </c:pt>
                <c:pt idx="13">
                  <c:v>12280</c:v>
                </c:pt>
                <c:pt idx="14">
                  <c:v>12280</c:v>
                </c:pt>
                <c:pt idx="15">
                  <c:v>12280</c:v>
                </c:pt>
                <c:pt idx="16">
                  <c:v>12355</c:v>
                </c:pt>
                <c:pt idx="17">
                  <c:v>13368</c:v>
                </c:pt>
                <c:pt idx="18">
                  <c:v>14168.5</c:v>
                </c:pt>
                <c:pt idx="19">
                  <c:v>17956</c:v>
                </c:pt>
                <c:pt idx="20">
                  <c:v>18088.5</c:v>
                </c:pt>
                <c:pt idx="21">
                  <c:v>18219.5</c:v>
                </c:pt>
                <c:pt idx="22">
                  <c:v>18880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20">
                  <c:v>-6.7462499995599501E-2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B-4A54-AA1D-059BEA4C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1600"/>
        <c:axId val="1"/>
      </c:scatterChart>
      <c:valAx>
        <c:axId val="814271600"/>
        <c:scaling>
          <c:orientation val="minMax"/>
          <c:max val="220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9524</xdr:rowOff>
    </xdr:from>
    <xdr:to>
      <xdr:col>17</xdr:col>
      <xdr:colOff>428625</xdr:colOff>
      <xdr:row>18</xdr:row>
      <xdr:rowOff>57149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621F29-434C-3F60-5B1D-36BDAAF6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5668" TargetMode="External"/><Relationship Id="rId7" Type="http://schemas.openxmlformats.org/officeDocument/2006/relationships/hyperlink" Target="http://www.konkoly.hu/cgi-bin/IBVS?5606" TargetMode="External"/><Relationship Id="rId2" Type="http://schemas.openxmlformats.org/officeDocument/2006/relationships/hyperlink" Target="http://www.konkoly.hu/cgi-bin/IBVS?5668" TargetMode="External"/><Relationship Id="rId1" Type="http://schemas.openxmlformats.org/officeDocument/2006/relationships/hyperlink" Target="http://www.konkoly.hu/cgi-bin/IBVS?5341" TargetMode="External"/><Relationship Id="rId6" Type="http://schemas.openxmlformats.org/officeDocument/2006/relationships/hyperlink" Target="http://www.konkoly.hu/cgi-bin/IBVS?5606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11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 s="5" customFormat="1" ht="12.95" customHeight="1">
      <c r="A2" s="5" t="s">
        <v>24</v>
      </c>
      <c r="B2" s="25" t="s">
        <v>27</v>
      </c>
    </row>
    <row r="3" spans="1:6" s="5" customFormat="1" ht="12.95" customHeight="1" thickBot="1"/>
    <row r="4" spans="1:6" s="5" customFormat="1" ht="12.95" customHeight="1" thickBot="1">
      <c r="A4" s="26" t="s">
        <v>2</v>
      </c>
      <c r="C4" s="27" t="s">
        <v>31</v>
      </c>
      <c r="D4" s="28" t="s">
        <v>31</v>
      </c>
    </row>
    <row r="5" spans="1:6" s="5" customFormat="1" ht="12.95" customHeight="1">
      <c r="A5" s="29" t="s">
        <v>39</v>
      </c>
      <c r="C5" s="30">
        <v>-9.5</v>
      </c>
      <c r="D5" s="5" t="s">
        <v>40</v>
      </c>
    </row>
    <row r="6" spans="1:6" s="5" customFormat="1" ht="12.95" customHeight="1">
      <c r="A6" s="26" t="s">
        <v>3</v>
      </c>
      <c r="E6" s="103" t="s">
        <v>30</v>
      </c>
    </row>
    <row r="7" spans="1:6" s="5" customFormat="1" ht="12.95" customHeight="1">
      <c r="A7" s="5" t="s">
        <v>4</v>
      </c>
      <c r="C7" s="82">
        <v>52643.6011</v>
      </c>
      <c r="D7" s="82" t="s">
        <v>117</v>
      </c>
      <c r="E7" s="104">
        <v>52548.249239650002</v>
      </c>
    </row>
    <row r="8" spans="1:6" s="5" customFormat="1" ht="12.95" customHeight="1">
      <c r="A8" s="5" t="s">
        <v>5</v>
      </c>
      <c r="C8" s="82">
        <v>0.37992500000000001</v>
      </c>
      <c r="D8" s="83" t="s">
        <v>117</v>
      </c>
      <c r="E8" s="105">
        <v>0.3799207</v>
      </c>
    </row>
    <row r="9" spans="1:6" s="5" customFormat="1" ht="12.95" customHeight="1">
      <c r="A9" s="31" t="s">
        <v>44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s="5" customFormat="1" ht="12.95" customHeight="1" thickBot="1">
      <c r="C10" s="35" t="s">
        <v>20</v>
      </c>
      <c r="D10" s="35" t="s">
        <v>21</v>
      </c>
    </row>
    <row r="11" spans="1:6" s="5" customFormat="1" ht="12.95" customHeight="1">
      <c r="A11" s="5" t="s">
        <v>16</v>
      </c>
      <c r="C11" s="34">
        <f ca="1">INTERCEPT(INDIRECT($D$9):G992,INDIRECT($C$9):F992)</f>
        <v>5.9879653268827999E-3</v>
      </c>
      <c r="D11" s="36"/>
    </row>
    <row r="12" spans="1:6" s="5" customFormat="1" ht="12.95" customHeight="1">
      <c r="A12" s="5" t="s">
        <v>17</v>
      </c>
      <c r="C12" s="34">
        <f ca="1">SLOPE(INDIRECT($D$9):G992,INDIRECT($C$9):F992)</f>
        <v>-1.9916862251704008E-6</v>
      </c>
      <c r="D12" s="36"/>
      <c r="E12" s="95" t="s">
        <v>114</v>
      </c>
      <c r="F12" s="96" t="s">
        <v>118</v>
      </c>
    </row>
    <row r="13" spans="1:6" s="5" customFormat="1" ht="12.95" customHeight="1">
      <c r="A13" s="5" t="s">
        <v>19</v>
      </c>
      <c r="C13" s="36" t="s">
        <v>41</v>
      </c>
      <c r="E13" s="97" t="s">
        <v>46</v>
      </c>
      <c r="F13" s="98">
        <v>1</v>
      </c>
    </row>
    <row r="14" spans="1:6" s="5" customFormat="1" ht="12.95" customHeight="1">
      <c r="E14" s="97" t="s">
        <v>42</v>
      </c>
      <c r="F14" s="99">
        <f ca="1">NOW()+15018.5+$C$5/24</f>
        <v>60507.680412152775</v>
      </c>
    </row>
    <row r="15" spans="1:6" s="5" customFormat="1" ht="12.95" customHeight="1">
      <c r="A15" s="37" t="s">
        <v>18</v>
      </c>
      <c r="C15" s="38">
        <f ca="1">(C7+C11)+(C8+C12)*INT(MAX(F21:F3533))</f>
        <v>59816.553484929398</v>
      </c>
      <c r="E15" s="97" t="s">
        <v>47</v>
      </c>
      <c r="F15" s="99">
        <f ca="1">ROUND(2*($F$14-$C$7)/$C$8,0)/2+$F$13</f>
        <v>20700</v>
      </c>
    </row>
    <row r="16" spans="1:6" s="5" customFormat="1" ht="12.95" customHeight="1">
      <c r="A16" s="26" t="s">
        <v>6</v>
      </c>
      <c r="C16" s="40">
        <f ca="1">+C8+C12</f>
        <v>0.37992300831377485</v>
      </c>
      <c r="E16" s="97" t="s">
        <v>43</v>
      </c>
      <c r="F16" s="99">
        <f ca="1">ROUND(2*($F$14-$C$15)/$C$16,0)/2+$F$13</f>
        <v>1820</v>
      </c>
    </row>
    <row r="17" spans="1:21" s="5" customFormat="1" ht="12.95" customHeight="1" thickBot="1">
      <c r="A17" s="39" t="s">
        <v>36</v>
      </c>
      <c r="C17" s="5">
        <f>COUNT(C21:C2191)</f>
        <v>23</v>
      </c>
      <c r="E17" s="97" t="s">
        <v>115</v>
      </c>
      <c r="F17" s="100">
        <f ca="1">+$C$15+$C$16*$F$16-15018.5-$C$5/24</f>
        <v>45489.909193393803</v>
      </c>
    </row>
    <row r="18" spans="1:21" s="5" customFormat="1" ht="12.95" customHeight="1" thickTop="1" thickBot="1">
      <c r="A18" s="26" t="s">
        <v>7</v>
      </c>
      <c r="C18" s="41">
        <f ca="1">+C15</f>
        <v>59816.553484929398</v>
      </c>
      <c r="D18" s="42">
        <f ca="1">+C16</f>
        <v>0.37992300831377485</v>
      </c>
      <c r="E18" s="102" t="s">
        <v>116</v>
      </c>
      <c r="F18" s="101">
        <f ca="1">+($C$15+$C$16*$F$16)-($C$16/2)-15018.5-$C$5/24</f>
        <v>45489.719231889649</v>
      </c>
    </row>
    <row r="19" spans="1:21" s="5" customFormat="1" ht="12.95" customHeight="1" thickTop="1">
      <c r="E19" s="39"/>
      <c r="F19" s="43"/>
    </row>
    <row r="20" spans="1:21" s="5" customFormat="1" ht="12.95" customHeight="1" thickBot="1">
      <c r="A20" s="35" t="s">
        <v>8</v>
      </c>
      <c r="B20" s="35" t="s">
        <v>9</v>
      </c>
      <c r="C20" s="35" t="s">
        <v>10</v>
      </c>
      <c r="D20" s="35" t="s">
        <v>14</v>
      </c>
      <c r="E20" s="35" t="s">
        <v>11</v>
      </c>
      <c r="F20" s="35" t="s">
        <v>12</v>
      </c>
      <c r="G20" s="35" t="s">
        <v>13</v>
      </c>
      <c r="H20" s="44" t="s">
        <v>56</v>
      </c>
      <c r="I20" s="44" t="s">
        <v>59</v>
      </c>
      <c r="J20" s="44" t="s">
        <v>53</v>
      </c>
      <c r="K20" s="44" t="s">
        <v>51</v>
      </c>
      <c r="L20" s="44" t="s">
        <v>25</v>
      </c>
      <c r="M20" s="44" t="s">
        <v>26</v>
      </c>
      <c r="N20" s="44" t="s">
        <v>29</v>
      </c>
      <c r="O20" s="44" t="s">
        <v>23</v>
      </c>
      <c r="P20" s="45" t="s">
        <v>22</v>
      </c>
      <c r="Q20" s="35" t="s">
        <v>15</v>
      </c>
      <c r="U20" s="46" t="s">
        <v>106</v>
      </c>
    </row>
    <row r="21" spans="1:21" s="5" customFormat="1" ht="12.95" customHeight="1">
      <c r="A21" s="2" t="s">
        <v>32</v>
      </c>
      <c r="B21" s="3" t="s">
        <v>33</v>
      </c>
      <c r="C21" s="47">
        <v>52548.439200000001</v>
      </c>
      <c r="D21" s="2">
        <v>2.9999999999999997E-4</v>
      </c>
      <c r="E21" s="5">
        <f>+(C21-C$7)/C$8</f>
        <v>-250.47548858327076</v>
      </c>
      <c r="F21" s="5">
        <f>ROUND(2*E21,0)/2</f>
        <v>-250.5</v>
      </c>
      <c r="G21" s="5">
        <f>+C21-(C$7+F21*C$8)</f>
        <v>9.3124999984866008E-3</v>
      </c>
      <c r="J21" s="5">
        <f>+G21</f>
        <v>9.3124999984866008E-3</v>
      </c>
      <c r="O21" s="5">
        <f ca="1">+C$11+C$12*$F21</f>
        <v>6.4868827262879857E-3</v>
      </c>
      <c r="Q21" s="48">
        <f>+C21-15018.5</f>
        <v>37529.939200000001</v>
      </c>
    </row>
    <row r="22" spans="1:21" s="5" customFormat="1" ht="12.95" customHeight="1">
      <c r="A22" s="92" t="str">
        <f>$D$7</f>
        <v>VSX</v>
      </c>
      <c r="B22" s="82"/>
      <c r="C22" s="85">
        <f>$C$7</f>
        <v>52643.6011</v>
      </c>
      <c r="D22" s="52"/>
      <c r="E22" s="5">
        <f>+(C22-C$7)/C$8</f>
        <v>0</v>
      </c>
      <c r="F22" s="5">
        <f>ROUND(2*E22,0)/2</f>
        <v>0</v>
      </c>
      <c r="G22" s="5">
        <f>+C22-(C$7+F22*C$8)</f>
        <v>0</v>
      </c>
      <c r="K22" s="5">
        <f>+G22</f>
        <v>0</v>
      </c>
      <c r="O22" s="5">
        <f ca="1">+C$11+C$12*$F22</f>
        <v>5.9879653268827999E-3</v>
      </c>
      <c r="Q22" s="48">
        <f>+C22-15018.5</f>
        <v>37625.1011</v>
      </c>
    </row>
    <row r="23" spans="1:21" s="5" customFormat="1" ht="12.95" customHeight="1">
      <c r="A23" s="5" t="s">
        <v>38</v>
      </c>
      <c r="B23" s="49" t="s">
        <v>28</v>
      </c>
      <c r="C23" s="50">
        <v>52956.474699999999</v>
      </c>
      <c r="D23" s="51">
        <v>2.0000000000000001E-4</v>
      </c>
      <c r="E23" s="5">
        <f>+(C23-C$7)/C$8</f>
        <v>823.5141146278844</v>
      </c>
      <c r="F23" s="5">
        <f>ROUND(2*E23,0)/2</f>
        <v>823.5</v>
      </c>
      <c r="G23" s="5">
        <f>+C23-(C$7+F23*C$8)</f>
        <v>5.3625000000465661E-3</v>
      </c>
      <c r="K23" s="5">
        <f>+G23</f>
        <v>5.3625000000465661E-3</v>
      </c>
      <c r="O23" s="5">
        <f ca="1">+C$11+C$12*$F23</f>
        <v>4.3478117204549752E-3</v>
      </c>
      <c r="Q23" s="48">
        <f>+C23-15018.5</f>
        <v>37937.974699999999</v>
      </c>
    </row>
    <row r="24" spans="1:21" s="5" customFormat="1" ht="12.95" customHeight="1">
      <c r="A24" s="5" t="s">
        <v>38</v>
      </c>
      <c r="B24" s="49" t="s">
        <v>33</v>
      </c>
      <c r="C24" s="50">
        <v>53011.374199999998</v>
      </c>
      <c r="D24" s="51">
        <v>2.0000000000000001E-4</v>
      </c>
      <c r="E24" s="5">
        <f>+(C24-C$7)/C$8</f>
        <v>968.0150029611068</v>
      </c>
      <c r="F24" s="5">
        <f>ROUND(2*E24,0)/2</f>
        <v>968</v>
      </c>
      <c r="G24" s="5">
        <f>+C24-(C$7+F24*C$8)</f>
        <v>5.7000000015250407E-3</v>
      </c>
      <c r="K24" s="5">
        <f>+G24</f>
        <v>5.7000000015250407E-3</v>
      </c>
      <c r="O24" s="5">
        <f ca="1">+C$11+C$12*$F24</f>
        <v>4.0600130609178518E-3</v>
      </c>
      <c r="Q24" s="48">
        <f>+C24-15018.5</f>
        <v>37992.874199999998</v>
      </c>
    </row>
    <row r="25" spans="1:21" s="5" customFormat="1" ht="12.95" customHeight="1">
      <c r="A25" s="5" t="s">
        <v>34</v>
      </c>
      <c r="B25" s="36" t="s">
        <v>28</v>
      </c>
      <c r="C25" s="47">
        <v>53262.501100000001</v>
      </c>
      <c r="D25" s="52">
        <v>2.9999999999999997E-4</v>
      </c>
      <c r="E25" s="5">
        <f>+(C25-C$7)/C$8</f>
        <v>1629.0057248141118</v>
      </c>
      <c r="F25" s="5">
        <f>ROUND(2*E25,0)/2</f>
        <v>1629</v>
      </c>
      <c r="G25" s="5">
        <f>+C25-(C$7+F25*C$8)</f>
        <v>2.17500000144355E-3</v>
      </c>
      <c r="J25" s="5">
        <f>+G25</f>
        <v>2.17500000144355E-3</v>
      </c>
      <c r="O25" s="5">
        <f ca="1">+C$11+C$12*$F25</f>
        <v>2.7435084660802169E-3</v>
      </c>
      <c r="Q25" s="48">
        <f>+C25-15018.5</f>
        <v>38244.001100000001</v>
      </c>
    </row>
    <row r="26" spans="1:21" s="5" customFormat="1" ht="12.95" customHeight="1">
      <c r="A26" s="5" t="s">
        <v>35</v>
      </c>
      <c r="B26" s="36" t="s">
        <v>28</v>
      </c>
      <c r="C26" s="47">
        <v>53331.647499999999</v>
      </c>
      <c r="D26" s="52">
        <v>2.9999999999999997E-4</v>
      </c>
      <c r="E26" s="5">
        <f>+(C26-C$7)/C$8</f>
        <v>1811.0058564190281</v>
      </c>
      <c r="F26" s="5">
        <f>ROUND(2*E26,0)/2</f>
        <v>1811</v>
      </c>
      <c r="G26" s="5">
        <f>+C26-(C$7+F26*C$8)</f>
        <v>2.2249999965424649E-3</v>
      </c>
      <c r="K26" s="5">
        <f>+G26</f>
        <v>2.2249999965424649E-3</v>
      </c>
      <c r="O26" s="5">
        <f ca="1">+C$11+C$12*$F26</f>
        <v>2.381021573099204E-3</v>
      </c>
      <c r="Q26" s="48">
        <f>+C26-15018.5</f>
        <v>38313.147499999999</v>
      </c>
    </row>
    <row r="27" spans="1:21" s="5" customFormat="1" ht="12.95" customHeight="1">
      <c r="A27" s="5" t="s">
        <v>34</v>
      </c>
      <c r="B27" s="36" t="s">
        <v>28</v>
      </c>
      <c r="C27" s="47">
        <v>53345.325499999999</v>
      </c>
      <c r="D27" s="52">
        <v>4.0000000000000002E-4</v>
      </c>
      <c r="E27" s="5">
        <f>+(C27-C$7)/C$8</f>
        <v>1847.0076988879362</v>
      </c>
      <c r="F27" s="5">
        <f>ROUND(2*E27,0)/2</f>
        <v>1847</v>
      </c>
      <c r="G27" s="5">
        <f>+C27-(C$7+F27*C$8)</f>
        <v>2.9250000006868504E-3</v>
      </c>
      <c r="J27" s="5">
        <f>+G27</f>
        <v>2.9250000006868504E-3</v>
      </c>
      <c r="O27" s="5">
        <f ca="1">+C$11+C$12*$F27</f>
        <v>2.3093208689930695E-3</v>
      </c>
      <c r="Q27" s="48">
        <f>+C27-15018.5</f>
        <v>38326.825499999999</v>
      </c>
    </row>
    <row r="28" spans="1:21" s="5" customFormat="1" ht="12.95" customHeight="1">
      <c r="A28" s="5" t="s">
        <v>34</v>
      </c>
      <c r="B28" s="36" t="s">
        <v>28</v>
      </c>
      <c r="C28" s="47">
        <v>53351.403599999998</v>
      </c>
      <c r="D28" s="52">
        <v>2.0000000000000001E-4</v>
      </c>
      <c r="E28" s="5">
        <f>+(C28-C$7)/C$8</f>
        <v>1863.0058564190247</v>
      </c>
      <c r="F28" s="5">
        <f>ROUND(2*E28,0)/2</f>
        <v>1863</v>
      </c>
      <c r="G28" s="5">
        <f>+C28-(C$7+F28*C$8)</f>
        <v>2.2249999965424649E-3</v>
      </c>
      <c r="J28" s="5">
        <f>+G28</f>
        <v>2.2249999965424649E-3</v>
      </c>
      <c r="O28" s="5">
        <f ca="1">+C$11+C$12*$F28</f>
        <v>2.2774538893903431E-3</v>
      </c>
      <c r="Q28" s="48">
        <f>+C28-15018.5</f>
        <v>38332.903599999998</v>
      </c>
    </row>
    <row r="29" spans="1:21" s="5" customFormat="1" ht="12.95" customHeight="1">
      <c r="A29" s="53" t="s">
        <v>67</v>
      </c>
      <c r="B29" s="54" t="s">
        <v>33</v>
      </c>
      <c r="C29" s="55">
        <v>54142.967799999999</v>
      </c>
      <c r="D29" s="53" t="s">
        <v>59</v>
      </c>
      <c r="E29" s="5">
        <f>+(C29-C$7)/C$8</f>
        <v>3946.4807527801504</v>
      </c>
      <c r="F29" s="5">
        <f>ROUND(2*E29,0)/2</f>
        <v>3946.5</v>
      </c>
      <c r="G29" s="5">
        <f t="shared" ref="G29:G30" si="0">+C29-(C$7+F29*C$8)</f>
        <v>-7.3124999980791472E-3</v>
      </c>
      <c r="I29" s="5">
        <v>-7.3124999980791472E-3</v>
      </c>
      <c r="O29" s="5">
        <f ca="1">+C$11+C$12*$F29</f>
        <v>-1.8722243607521873E-3</v>
      </c>
      <c r="Q29" s="48">
        <f>+C29-15018.5</f>
        <v>39124.467799999999</v>
      </c>
    </row>
    <row r="30" spans="1:21" s="5" customFormat="1" ht="12.95" customHeight="1">
      <c r="A30" s="53" t="s">
        <v>68</v>
      </c>
      <c r="B30" s="54" t="s">
        <v>28</v>
      </c>
      <c r="C30" s="55">
        <v>54808.024700000002</v>
      </c>
      <c r="D30" s="53" t="s">
        <v>59</v>
      </c>
      <c r="E30" s="5">
        <f>+(C30-C$7)/C$8</f>
        <v>5696.9759821017351</v>
      </c>
      <c r="F30" s="5">
        <f>ROUND(2*E30,0)/2</f>
        <v>5697</v>
      </c>
      <c r="G30" s="5">
        <f t="shared" si="0"/>
        <v>-9.1249999968567863E-3</v>
      </c>
      <c r="I30" s="5">
        <v>-9.1249999968567863E-3</v>
      </c>
      <c r="O30" s="5">
        <f ca="1">+C$11+C$12*$F30</f>
        <v>-5.3586710979129735E-3</v>
      </c>
      <c r="Q30" s="48">
        <f>+C30-15018.5</f>
        <v>39789.524700000002</v>
      </c>
    </row>
    <row r="31" spans="1:21" s="5" customFormat="1" ht="12.95" customHeight="1">
      <c r="A31" s="56" t="s">
        <v>45</v>
      </c>
      <c r="B31" s="57" t="s">
        <v>28</v>
      </c>
      <c r="C31" s="58">
        <v>56193.608809999998</v>
      </c>
      <c r="D31" s="59">
        <v>8.9999999999999998E-4</v>
      </c>
      <c r="E31" s="5">
        <f>+(C31-C$7)/C$8</f>
        <v>9343.9697571889137</v>
      </c>
      <c r="F31" s="5">
        <f>ROUND(2*E31,0)/2</f>
        <v>9344</v>
      </c>
      <c r="G31" s="5">
        <f>+C31-(C$7+F31*C$8)</f>
        <v>-1.1490000004414469E-2</v>
      </c>
      <c r="K31" s="5">
        <f>+G31</f>
        <v>-1.1490000004414469E-2</v>
      </c>
      <c r="O31" s="5">
        <f ca="1">+C$11+C$12*$F31</f>
        <v>-1.2622350761109426E-2</v>
      </c>
      <c r="Q31" s="48">
        <f>+C31-15018.5</f>
        <v>41175.108809999998</v>
      </c>
    </row>
    <row r="32" spans="1:21" s="5" customFormat="1" ht="12.95" customHeight="1">
      <c r="A32" s="60" t="s">
        <v>48</v>
      </c>
      <c r="B32" s="61" t="s">
        <v>28</v>
      </c>
      <c r="C32" s="62">
        <v>56565.55444</v>
      </c>
      <c r="D32" s="60">
        <v>4.0000000000000002E-4</v>
      </c>
      <c r="E32" s="5">
        <f>+(C32-C$7)/C$8</f>
        <v>10322.967269855892</v>
      </c>
      <c r="F32" s="5">
        <f>ROUND(2*E32,0)/2</f>
        <v>10323</v>
      </c>
      <c r="G32" s="5">
        <f>+C32-(C$7+F32*C$8)</f>
        <v>-1.2434999996912666E-2</v>
      </c>
      <c r="K32" s="5">
        <f>+G32</f>
        <v>-1.2434999996912666E-2</v>
      </c>
      <c r="O32" s="5">
        <f ca="1">+C$11+C$12*$F32</f>
        <v>-1.4572211575551247E-2</v>
      </c>
      <c r="Q32" s="48">
        <f>+C32-15018.5</f>
        <v>41547.05444</v>
      </c>
    </row>
    <row r="33" spans="1:21" s="5" customFormat="1" ht="12.95" customHeight="1">
      <c r="A33" s="63" t="s">
        <v>108</v>
      </c>
      <c r="B33" s="64" t="s">
        <v>28</v>
      </c>
      <c r="C33" s="65">
        <v>56924.58107</v>
      </c>
      <c r="D33" s="66">
        <v>2.9999999999999997E-4</v>
      </c>
      <c r="E33" s="5">
        <f>+(C33-C$7)/C$8</f>
        <v>11267.960702770284</v>
      </c>
      <c r="F33" s="5">
        <f>ROUND(2*E33,0)/2</f>
        <v>11268</v>
      </c>
      <c r="G33" s="5">
        <f>+C33-(C$7+F33*C$8)</f>
        <v>-1.4929999997548293E-2</v>
      </c>
      <c r="K33" s="5">
        <f>+G33</f>
        <v>-1.4929999997548293E-2</v>
      </c>
      <c r="O33" s="5">
        <f ca="1">+C$11+C$12*$F33</f>
        <v>-1.6454355058337276E-2</v>
      </c>
      <c r="Q33" s="48">
        <f>+C33-15018.5</f>
        <v>41906.08107</v>
      </c>
    </row>
    <row r="34" spans="1:21" s="5" customFormat="1" ht="12.95" customHeight="1">
      <c r="A34" s="86" t="s">
        <v>107</v>
      </c>
      <c r="B34" s="67" t="s">
        <v>28</v>
      </c>
      <c r="C34" s="68">
        <v>57309.064699999988</v>
      </c>
      <c r="D34" s="69"/>
      <c r="E34" s="5">
        <f>+(C34-C$7)/C$8</f>
        <v>12279.959465683985</v>
      </c>
      <c r="F34" s="5">
        <f>ROUND(2*E34,0)/2</f>
        <v>12280</v>
      </c>
      <c r="G34" s="5">
        <f>+C34-(C$7+F34*C$8)</f>
        <v>-1.5400000011140946E-2</v>
      </c>
      <c r="K34" s="5">
        <f>+G34</f>
        <v>-1.5400000011140946E-2</v>
      </c>
      <c r="O34" s="5">
        <f ca="1">+C$11+C$12*$F34</f>
        <v>-1.8469941518209722E-2</v>
      </c>
      <c r="Q34" s="48">
        <f>+C34-15018.5</f>
        <v>42290.564699999988</v>
      </c>
    </row>
    <row r="35" spans="1:21" s="5" customFormat="1" ht="12.95" customHeight="1">
      <c r="A35" s="86" t="s">
        <v>107</v>
      </c>
      <c r="B35" s="67" t="s">
        <v>28</v>
      </c>
      <c r="C35" s="68">
        <v>57309.064699999988</v>
      </c>
      <c r="D35" s="70" t="s">
        <v>58</v>
      </c>
      <c r="E35" s="5">
        <f>+(C35-C$7)/C$8</f>
        <v>12279.959465683985</v>
      </c>
      <c r="F35" s="5">
        <f>ROUND(2*E35,0)/2</f>
        <v>12280</v>
      </c>
      <c r="G35" s="5">
        <f>+C35-(C$7+F35*C$8)</f>
        <v>-1.5400000011140946E-2</v>
      </c>
      <c r="K35" s="5">
        <f>+G35</f>
        <v>-1.5400000011140946E-2</v>
      </c>
      <c r="O35" s="5">
        <f ca="1">+C$11+C$12*$F35</f>
        <v>-1.8469941518209722E-2</v>
      </c>
      <c r="Q35" s="48">
        <f>+C35-15018.5</f>
        <v>42290.564699999988</v>
      </c>
    </row>
    <row r="36" spans="1:21" s="5" customFormat="1" ht="12.95" customHeight="1">
      <c r="A36" s="87" t="s">
        <v>1</v>
      </c>
      <c r="B36" s="72" t="s">
        <v>28</v>
      </c>
      <c r="C36" s="73">
        <v>57309.064700000003</v>
      </c>
      <c r="D36" s="71" t="s">
        <v>58</v>
      </c>
      <c r="E36" s="5">
        <f>+(C36-C$7)/C$8</f>
        <v>12279.959465684024</v>
      </c>
      <c r="F36" s="5">
        <f>ROUND(2*E36,0)/2</f>
        <v>12280</v>
      </c>
      <c r="G36" s="5">
        <f>+C36-(C$7+F36*C$8)</f>
        <v>-1.5399999996589031E-2</v>
      </c>
      <c r="K36" s="5">
        <f>+G36</f>
        <v>-1.5399999996589031E-2</v>
      </c>
      <c r="O36" s="5">
        <f ca="1">+C$11+C$12*$F36</f>
        <v>-1.8469941518209722E-2</v>
      </c>
      <c r="Q36" s="48">
        <f>+C36-15018.5</f>
        <v>42290.564700000003</v>
      </c>
    </row>
    <row r="37" spans="1:21" s="5" customFormat="1" ht="12.95" customHeight="1">
      <c r="A37" s="88" t="s">
        <v>0</v>
      </c>
      <c r="B37" s="74" t="s">
        <v>28</v>
      </c>
      <c r="C37" s="75">
        <v>57337.56</v>
      </c>
      <c r="D37" s="76">
        <v>0.01</v>
      </c>
      <c r="E37" s="5">
        <f>+(C37-C$7)/C$8</f>
        <v>12354.961900375069</v>
      </c>
      <c r="F37" s="5">
        <f>ROUND(2*E37,0)/2</f>
        <v>12355</v>
      </c>
      <c r="G37" s="5">
        <f>+C37-(C$7+F37*C$8)</f>
        <v>-1.4475000003585592E-2</v>
      </c>
      <c r="I37" s="5">
        <f>+G37</f>
        <v>-1.4475000003585592E-2</v>
      </c>
      <c r="O37" s="5">
        <f ca="1">+C$11+C$12*$F37</f>
        <v>-1.8619317985097503E-2</v>
      </c>
      <c r="Q37" s="48">
        <f>+C37-15018.5</f>
        <v>42319.06</v>
      </c>
    </row>
    <row r="38" spans="1:21" s="5" customFormat="1" ht="12.95" customHeight="1">
      <c r="A38" s="88" t="s">
        <v>0</v>
      </c>
      <c r="B38" s="74" t="s">
        <v>28</v>
      </c>
      <c r="C38" s="75">
        <v>57722.42</v>
      </c>
      <c r="D38" s="76">
        <v>5.0000000000000001E-3</v>
      </c>
      <c r="E38" s="5">
        <f>+(C38-C$7)/C$8</f>
        <v>13367.951306178846</v>
      </c>
      <c r="F38" s="5">
        <f>ROUND(2*E38,0)/2</f>
        <v>13368</v>
      </c>
      <c r="G38" s="5">
        <f>+C38-(C$7+F38*C$8)</f>
        <v>-1.8500000005587935E-2</v>
      </c>
      <c r="I38" s="5">
        <f>+G38</f>
        <v>-1.8500000005587935E-2</v>
      </c>
      <c r="O38" s="5">
        <f ca="1">+C$11+C$12*$F38</f>
        <v>-2.0636896131195119E-2</v>
      </c>
      <c r="Q38" s="48">
        <f>+C38-15018.5</f>
        <v>42703.92</v>
      </c>
    </row>
    <row r="39" spans="1:21" s="5" customFormat="1" ht="12.95" customHeight="1">
      <c r="A39" s="89" t="s">
        <v>109</v>
      </c>
      <c r="B39" s="72" t="s">
        <v>33</v>
      </c>
      <c r="C39" s="73">
        <v>58026.548369999975</v>
      </c>
      <c r="D39" s="71">
        <v>1E-4</v>
      </c>
      <c r="E39" s="5">
        <f>+(C39-C$7)/C$8</f>
        <v>14168.447114562019</v>
      </c>
      <c r="F39" s="5">
        <f>ROUND(2*E39,0)/2</f>
        <v>14168.5</v>
      </c>
      <c r="G39" s="5">
        <f>+C39-(C$7+F39*C$8)</f>
        <v>-2.0092500024475157E-2</v>
      </c>
      <c r="K39" s="5">
        <f>+G39</f>
        <v>-2.0092500024475157E-2</v>
      </c>
      <c r="O39" s="5">
        <f ca="1">+C$11+C$12*$F39</f>
        <v>-2.2231240954444023E-2</v>
      </c>
      <c r="Q39" s="48">
        <f>+C39-15018.5</f>
        <v>43008.048369999975</v>
      </c>
    </row>
    <row r="40" spans="1:21" s="5" customFormat="1" ht="12.95" customHeight="1">
      <c r="A40" s="90" t="s">
        <v>111</v>
      </c>
      <c r="B40" s="22" t="s">
        <v>33</v>
      </c>
      <c r="C40" s="23">
        <v>59465.4977</v>
      </c>
      <c r="D40" s="81">
        <v>8.9999999999999998E-4</v>
      </c>
      <c r="E40" s="5">
        <f>+(C40-C$7)/C$8</f>
        <v>17955.903401987234</v>
      </c>
      <c r="F40" s="5">
        <f>ROUND(2*E40,0)/2</f>
        <v>17956</v>
      </c>
      <c r="G40" s="5">
        <f>+C40-(C$7+F40*C$8)</f>
        <v>-3.6700000004202593E-2</v>
      </c>
      <c r="K40" s="5">
        <f>+G40</f>
        <v>-3.6700000004202593E-2</v>
      </c>
      <c r="O40" s="5">
        <f ca="1">+C$11+C$12*$F40</f>
        <v>-2.9774752532276915E-2</v>
      </c>
      <c r="Q40" s="48">
        <f>+C40-15018.5</f>
        <v>44446.9977</v>
      </c>
    </row>
    <row r="41" spans="1:21" s="5" customFormat="1" ht="12.95" customHeight="1">
      <c r="A41" s="91" t="s">
        <v>113</v>
      </c>
      <c r="B41" s="77" t="s">
        <v>33</v>
      </c>
      <c r="C41" s="78">
        <v>59515.807000000001</v>
      </c>
      <c r="D41" s="79">
        <v>4.0000000000000002E-4</v>
      </c>
      <c r="E41" s="5">
        <f>+(C41-C$7)/C$8</f>
        <v>18088.322432058962</v>
      </c>
      <c r="F41" s="5">
        <f>ROUND(2*E41,0)/2</f>
        <v>18088.5</v>
      </c>
      <c r="O41" s="5">
        <f ca="1">+C$11+C$12*$F41</f>
        <v>-3.0038650957111997E-2</v>
      </c>
      <c r="Q41" s="48">
        <f>+C41-15018.5</f>
        <v>44497.307000000001</v>
      </c>
      <c r="U41" s="5">
        <f>+C41-(C$7+F41*C$8)</f>
        <v>-6.7462499995599501E-2</v>
      </c>
    </row>
    <row r="42" spans="1:21" s="5" customFormat="1" ht="12.95" customHeight="1">
      <c r="A42" s="92" t="s">
        <v>110</v>
      </c>
      <c r="B42" s="82"/>
      <c r="C42" s="84">
        <v>59565.616000000002</v>
      </c>
      <c r="D42" s="21">
        <v>2.9999999999999997E-4</v>
      </c>
      <c r="E42" s="5">
        <f>+(C42-C$7)/C$8</f>
        <v>18219.424623280916</v>
      </c>
      <c r="F42" s="5">
        <f>ROUND(2*E42,0)/2</f>
        <v>18219.5</v>
      </c>
      <c r="G42" s="5">
        <f>+C42-(C$7+F42*C$8)</f>
        <v>-2.8637499999604188E-2</v>
      </c>
      <c r="K42" s="5">
        <f>+G42</f>
        <v>-2.8637499999604188E-2</v>
      </c>
      <c r="O42" s="5">
        <f ca="1">+C$11+C$12*$F42</f>
        <v>-3.0299561852609316E-2</v>
      </c>
      <c r="Q42" s="48">
        <f>+C42-15018.5</f>
        <v>44547.116000000002</v>
      </c>
    </row>
    <row r="43" spans="1:21" s="5" customFormat="1" ht="12.95" customHeight="1">
      <c r="A43" s="93" t="s">
        <v>112</v>
      </c>
      <c r="B43" s="80" t="s">
        <v>28</v>
      </c>
      <c r="C43" s="24">
        <v>59816.546200000215</v>
      </c>
      <c r="D43" s="81">
        <v>8.9999999999999998E-4</v>
      </c>
      <c r="E43" s="5">
        <f>+(C43-C$7)/C$8</f>
        <v>18879.897611371231</v>
      </c>
      <c r="F43" s="5">
        <f>ROUND(2*E43,0)/2</f>
        <v>18880</v>
      </c>
      <c r="G43" s="5">
        <f>+C43-(C$7+F43*C$8)</f>
        <v>-3.8899999781278893E-2</v>
      </c>
      <c r="K43" s="5">
        <f>+G43</f>
        <v>-3.8899999781278893E-2</v>
      </c>
      <c r="O43" s="5">
        <f ca="1">+C$11+C$12*$F43</f>
        <v>-3.1615070604334369E-2</v>
      </c>
      <c r="Q43" s="48">
        <f>+C43-15018.5</f>
        <v>44798.046200000215</v>
      </c>
    </row>
    <row r="44" spans="1:21" s="5" customFormat="1" ht="12.95" customHeight="1">
      <c r="A44" s="94"/>
      <c r="C44" s="47"/>
      <c r="D44" s="52"/>
    </row>
    <row r="45" spans="1:21" s="5" customFormat="1" ht="12.95" customHeight="1">
      <c r="A45" s="94"/>
      <c r="C45" s="47"/>
      <c r="D45" s="52"/>
    </row>
    <row r="46" spans="1:21" s="5" customFormat="1" ht="12.95" customHeight="1">
      <c r="A46" s="94"/>
      <c r="C46" s="47"/>
      <c r="D46" s="52"/>
    </row>
    <row r="47" spans="1:21" s="5" customFormat="1" ht="12.95" customHeight="1">
      <c r="A47" s="94"/>
      <c r="C47" s="47"/>
      <c r="D47" s="52"/>
    </row>
    <row r="48" spans="1:21" s="5" customFormat="1" ht="12.95" customHeight="1">
      <c r="A48" s="94"/>
      <c r="C48" s="47"/>
      <c r="D48" s="52"/>
    </row>
    <row r="49" spans="1:4" s="5" customFormat="1" ht="12.95" customHeight="1">
      <c r="A49" s="94"/>
      <c r="C49" s="47"/>
      <c r="D49" s="52"/>
    </row>
    <row r="50" spans="1:4" s="5" customFormat="1" ht="12.95" customHeight="1">
      <c r="A50" s="94"/>
      <c r="C50" s="47"/>
      <c r="D50" s="52"/>
    </row>
    <row r="51" spans="1:4" s="5" customFormat="1" ht="12.95" customHeight="1">
      <c r="C51" s="52"/>
      <c r="D51" s="52"/>
    </row>
    <row r="52" spans="1:4" s="5" customFormat="1" ht="12.95" customHeight="1">
      <c r="C52" s="52"/>
      <c r="D52" s="52"/>
    </row>
    <row r="53" spans="1:4" s="5" customFormat="1" ht="12.95" customHeight="1">
      <c r="C53" s="52"/>
      <c r="D53" s="52"/>
    </row>
    <row r="54" spans="1:4" s="5" customFormat="1" ht="12.95" customHeight="1">
      <c r="C54" s="52"/>
      <c r="D54" s="52"/>
    </row>
    <row r="55" spans="1:4" s="5" customFormat="1" ht="12.95" customHeight="1">
      <c r="C55" s="52"/>
      <c r="D55" s="52"/>
    </row>
    <row r="56" spans="1:4" s="5" customFormat="1" ht="12.95" customHeight="1">
      <c r="C56" s="52"/>
      <c r="D56" s="52"/>
    </row>
    <row r="57" spans="1:4" s="5" customFormat="1" ht="12.95" customHeight="1">
      <c r="C57" s="52"/>
      <c r="D57" s="52"/>
    </row>
    <row r="58" spans="1:4" s="5" customFormat="1" ht="12.95" customHeight="1">
      <c r="C58" s="52"/>
      <c r="D58" s="52"/>
    </row>
    <row r="59" spans="1:4" s="5" customFormat="1" ht="12.95" customHeight="1">
      <c r="C59" s="52"/>
      <c r="D59" s="52"/>
    </row>
    <row r="60" spans="1:4" s="5" customFormat="1" ht="12.95" customHeight="1">
      <c r="C60" s="52"/>
      <c r="D60" s="52"/>
    </row>
    <row r="61" spans="1:4" s="5" customFormat="1" ht="12.95" customHeight="1">
      <c r="C61" s="52"/>
      <c r="D61" s="52"/>
    </row>
    <row r="62" spans="1:4" s="5" customFormat="1" ht="12.95" customHeight="1">
      <c r="C62" s="52"/>
      <c r="D62" s="52"/>
    </row>
    <row r="63" spans="1:4" s="5" customFormat="1" ht="12.95" customHeight="1">
      <c r="C63" s="52"/>
      <c r="D63" s="52"/>
    </row>
    <row r="64" spans="1:4" s="5" customFormat="1" ht="12.95" customHeight="1">
      <c r="C64" s="52"/>
      <c r="D64" s="52"/>
    </row>
    <row r="65" spans="3:4" s="5" customFormat="1" ht="12.95" customHeight="1">
      <c r="C65" s="52"/>
      <c r="D65" s="52"/>
    </row>
    <row r="66" spans="3:4" s="5" customFormat="1" ht="12.95" customHeight="1">
      <c r="C66" s="52"/>
      <c r="D66" s="52"/>
    </row>
    <row r="67" spans="3:4" s="5" customFormat="1" ht="12.95" customHeight="1">
      <c r="C67" s="52"/>
      <c r="D67" s="52"/>
    </row>
    <row r="68" spans="3:4" s="5" customFormat="1" ht="12.95" customHeight="1">
      <c r="C68" s="52"/>
      <c r="D68" s="52"/>
    </row>
    <row r="69" spans="3:4" s="5" customFormat="1" ht="12.95" customHeight="1">
      <c r="C69" s="52"/>
      <c r="D69" s="52"/>
    </row>
    <row r="70" spans="3:4" s="5" customFormat="1" ht="12.95" customHeight="1">
      <c r="C70" s="52"/>
      <c r="D70" s="52"/>
    </row>
    <row r="71" spans="3:4" s="5" customFormat="1" ht="12.95" customHeight="1">
      <c r="C71" s="52"/>
      <c r="D71" s="52"/>
    </row>
    <row r="72" spans="3:4" s="5" customFormat="1" ht="12.95" customHeight="1">
      <c r="C72" s="52"/>
      <c r="D72" s="52"/>
    </row>
    <row r="73" spans="3:4" s="5" customFormat="1" ht="12.95" customHeight="1">
      <c r="C73" s="52"/>
      <c r="D73" s="52"/>
    </row>
    <row r="74" spans="3:4" s="5" customFormat="1" ht="12.95" customHeight="1">
      <c r="C74" s="52"/>
      <c r="D74" s="52"/>
    </row>
    <row r="75" spans="3:4" s="5" customFormat="1" ht="12.95" customHeight="1">
      <c r="C75" s="52"/>
      <c r="D75" s="52"/>
    </row>
    <row r="76" spans="3:4" s="5" customFormat="1" ht="12.95" customHeight="1">
      <c r="C76" s="52"/>
      <c r="D76" s="52"/>
    </row>
    <row r="77" spans="3:4" s="5" customFormat="1" ht="12.95" customHeight="1">
      <c r="C77" s="52"/>
      <c r="D77" s="52"/>
    </row>
    <row r="78" spans="3:4" s="5" customFormat="1" ht="12.95" customHeight="1">
      <c r="C78" s="52"/>
      <c r="D78" s="52"/>
    </row>
    <row r="79" spans="3:4" s="5" customFormat="1" ht="12.95" customHeight="1">
      <c r="C79" s="52"/>
      <c r="D79" s="52"/>
    </row>
    <row r="80" spans="3:4" s="5" customFormat="1" ht="12.95" customHeight="1">
      <c r="C80" s="52"/>
      <c r="D80" s="52"/>
    </row>
    <row r="81" spans="3:4" s="5" customFormat="1" ht="12.95" customHeight="1">
      <c r="C81" s="52"/>
      <c r="D81" s="52"/>
    </row>
    <row r="82" spans="3:4" s="5" customFormat="1" ht="12.95" customHeight="1">
      <c r="C82" s="52"/>
      <c r="D82" s="52"/>
    </row>
    <row r="83" spans="3:4" s="5" customFormat="1" ht="12.95" customHeight="1">
      <c r="C83" s="52"/>
      <c r="D83" s="52"/>
    </row>
    <row r="84" spans="3:4" s="5" customFormat="1" ht="12.95" customHeight="1">
      <c r="C84" s="52"/>
      <c r="D84" s="52"/>
    </row>
    <row r="85" spans="3:4" s="5" customFormat="1" ht="12.95" customHeight="1">
      <c r="C85" s="52"/>
      <c r="D85" s="52"/>
    </row>
    <row r="86" spans="3:4" s="5" customFormat="1" ht="12.95" customHeight="1">
      <c r="C86" s="52"/>
      <c r="D86" s="52"/>
    </row>
    <row r="87" spans="3:4" s="5" customFormat="1" ht="12.95" customHeight="1">
      <c r="C87" s="52"/>
      <c r="D87" s="52"/>
    </row>
    <row r="88" spans="3:4" s="5" customFormat="1" ht="12.95" customHeight="1">
      <c r="C88" s="52"/>
      <c r="D88" s="52"/>
    </row>
    <row r="89" spans="3:4" s="5" customFormat="1" ht="12.95" customHeight="1">
      <c r="C89" s="52"/>
      <c r="D89" s="52"/>
    </row>
    <row r="90" spans="3:4" s="5" customFormat="1" ht="12.95" customHeight="1">
      <c r="C90" s="52"/>
      <c r="D90" s="52"/>
    </row>
    <row r="91" spans="3:4" s="5" customFormat="1" ht="12.95" customHeight="1">
      <c r="C91" s="52"/>
      <c r="D91" s="52"/>
    </row>
    <row r="92" spans="3:4" s="5" customFormat="1" ht="12.95" customHeight="1">
      <c r="C92" s="52"/>
      <c r="D92" s="52"/>
    </row>
    <row r="93" spans="3:4" s="5" customFormat="1" ht="12.95" customHeight="1">
      <c r="C93" s="52"/>
      <c r="D93" s="52"/>
    </row>
    <row r="94" spans="3:4" s="5" customFormat="1" ht="12.95" customHeight="1">
      <c r="C94" s="52"/>
      <c r="D94" s="52"/>
    </row>
    <row r="95" spans="3:4" s="5" customFormat="1" ht="12.95" customHeight="1">
      <c r="C95" s="52"/>
      <c r="D95" s="52"/>
    </row>
    <row r="96" spans="3:4" s="5" customFormat="1" ht="12.95" customHeight="1">
      <c r="C96" s="52"/>
      <c r="D96" s="52"/>
    </row>
    <row r="97" spans="3:4" s="5" customFormat="1" ht="12.95" customHeight="1">
      <c r="C97" s="52"/>
      <c r="D97" s="52"/>
    </row>
    <row r="98" spans="3:4" s="5" customFormat="1" ht="12.95" customHeight="1">
      <c r="C98" s="52"/>
      <c r="D98" s="52"/>
    </row>
    <row r="99" spans="3:4" s="5" customFormat="1" ht="12.95" customHeight="1">
      <c r="C99" s="52"/>
      <c r="D99" s="52"/>
    </row>
    <row r="100" spans="3:4" s="5" customFormat="1" ht="12.95" customHeight="1">
      <c r="C100" s="52"/>
      <c r="D100" s="52"/>
    </row>
    <row r="101" spans="3:4" s="5" customFormat="1" ht="12.95" customHeight="1">
      <c r="C101" s="52"/>
      <c r="D101" s="52"/>
    </row>
    <row r="102" spans="3:4" s="5" customFormat="1" ht="12.95" customHeight="1">
      <c r="C102" s="52"/>
      <c r="D102" s="52"/>
    </row>
    <row r="103" spans="3:4" s="5" customFormat="1" ht="12.95" customHeight="1">
      <c r="C103" s="52"/>
      <c r="D103" s="52"/>
    </row>
    <row r="104" spans="3:4" s="5" customFormat="1" ht="12.95" customHeight="1">
      <c r="C104" s="52"/>
      <c r="D104" s="52"/>
    </row>
    <row r="105" spans="3:4" s="5" customFormat="1" ht="12.95" customHeight="1">
      <c r="C105" s="52"/>
      <c r="D105" s="52"/>
    </row>
    <row r="106" spans="3:4" s="5" customFormat="1" ht="12.95" customHeight="1">
      <c r="C106" s="52"/>
      <c r="D106" s="52"/>
    </row>
    <row r="107" spans="3:4" s="5" customFormat="1" ht="12.95" customHeight="1">
      <c r="C107" s="52"/>
      <c r="D107" s="52"/>
    </row>
    <row r="108" spans="3:4" s="5" customFormat="1" ht="12.95" customHeight="1">
      <c r="C108" s="52"/>
      <c r="D108" s="52"/>
    </row>
    <row r="109" spans="3:4" s="5" customFormat="1" ht="12.95" customHeight="1">
      <c r="C109" s="52"/>
      <c r="D109" s="52"/>
    </row>
    <row r="110" spans="3:4" s="5" customFormat="1" ht="12.95" customHeight="1">
      <c r="C110" s="52"/>
      <c r="D110" s="52"/>
    </row>
    <row r="111" spans="3:4" s="5" customFormat="1" ht="12.95" customHeight="1">
      <c r="C111" s="52"/>
      <c r="D111" s="52"/>
    </row>
    <row r="112" spans="3:4" s="5" customFormat="1" ht="12.95" customHeight="1">
      <c r="C112" s="52"/>
      <c r="D112" s="52"/>
    </row>
    <row r="113" spans="3:4" s="5" customFormat="1" ht="12.95" customHeight="1">
      <c r="C113" s="52"/>
      <c r="D113" s="52"/>
    </row>
    <row r="114" spans="3:4" s="5" customFormat="1" ht="12.95" customHeight="1">
      <c r="C114" s="52"/>
      <c r="D114" s="52"/>
    </row>
    <row r="115" spans="3:4" s="5" customFormat="1" ht="12.95" customHeight="1">
      <c r="C115" s="52"/>
      <c r="D115" s="52"/>
    </row>
    <row r="116" spans="3:4" s="5" customFormat="1" ht="12.95" customHeight="1">
      <c r="C116" s="52"/>
      <c r="D116" s="52"/>
    </row>
    <row r="117" spans="3:4" s="5" customFormat="1" ht="12.95" customHeight="1">
      <c r="C117" s="52"/>
      <c r="D117" s="52"/>
    </row>
    <row r="118" spans="3:4" s="5" customFormat="1" ht="12.95" customHeight="1">
      <c r="C118" s="52"/>
      <c r="D118" s="52"/>
    </row>
    <row r="119" spans="3:4" s="5" customFormat="1" ht="12.95" customHeight="1">
      <c r="C119" s="52"/>
      <c r="D119" s="52"/>
    </row>
    <row r="120" spans="3:4" s="5" customFormat="1" ht="12.95" customHeight="1">
      <c r="C120" s="52"/>
      <c r="D120" s="52"/>
    </row>
    <row r="121" spans="3:4" s="5" customFormat="1" ht="12.95" customHeight="1">
      <c r="C121" s="52"/>
      <c r="D121" s="52"/>
    </row>
    <row r="122" spans="3:4" s="5" customFormat="1" ht="12.95" customHeight="1">
      <c r="C122" s="52"/>
      <c r="D122" s="52"/>
    </row>
    <row r="123" spans="3:4" s="5" customFormat="1" ht="12.95" customHeight="1">
      <c r="C123" s="52"/>
      <c r="D123" s="52"/>
    </row>
    <row r="124" spans="3:4" s="5" customFormat="1" ht="12.95" customHeight="1">
      <c r="C124" s="52"/>
      <c r="D124" s="52"/>
    </row>
    <row r="125" spans="3:4" s="5" customFormat="1" ht="12.95" customHeight="1">
      <c r="C125" s="52"/>
      <c r="D125" s="52"/>
    </row>
    <row r="126" spans="3:4" s="5" customFormat="1" ht="12.95" customHeight="1">
      <c r="C126" s="52"/>
      <c r="D126" s="52"/>
    </row>
    <row r="127" spans="3:4" s="5" customFormat="1" ht="12.95" customHeight="1">
      <c r="C127" s="52"/>
      <c r="D127" s="52"/>
    </row>
    <row r="128" spans="3:4" s="5" customFormat="1" ht="12.95" customHeight="1">
      <c r="C128" s="52"/>
      <c r="D128" s="52"/>
    </row>
    <row r="129" spans="3:4" s="5" customFormat="1" ht="12.95" customHeight="1">
      <c r="C129" s="52"/>
      <c r="D129" s="52"/>
    </row>
    <row r="130" spans="3:4" s="5" customFormat="1" ht="12.95" customHeight="1">
      <c r="C130" s="52"/>
      <c r="D130" s="52"/>
    </row>
    <row r="131" spans="3:4" s="5" customFormat="1" ht="12.95" customHeight="1">
      <c r="C131" s="52"/>
      <c r="D131" s="52"/>
    </row>
    <row r="132" spans="3:4" s="5" customFormat="1" ht="12.95" customHeight="1">
      <c r="C132" s="52"/>
      <c r="D132" s="52"/>
    </row>
    <row r="133" spans="3:4" s="5" customFormat="1" ht="12.95" customHeight="1"/>
    <row r="134" spans="3:4" s="5" customFormat="1" ht="12.95" customHeight="1"/>
    <row r="135" spans="3:4" s="5" customFormat="1" ht="12.95" customHeight="1"/>
    <row r="136" spans="3:4" s="5" customFormat="1" ht="12.95" customHeight="1"/>
    <row r="137" spans="3:4" s="5" customFormat="1" ht="12.95" customHeight="1"/>
    <row r="138" spans="3:4" s="5" customFormat="1" ht="12.95" customHeight="1"/>
    <row r="139" spans="3:4" s="5" customFormat="1" ht="12.95" customHeight="1"/>
    <row r="140" spans="3:4" s="5" customFormat="1" ht="12.95" customHeight="1"/>
    <row r="141" spans="3:4" s="5" customFormat="1" ht="12.95" customHeight="1"/>
    <row r="142" spans="3:4" s="5" customFormat="1" ht="12.95" customHeight="1"/>
    <row r="143" spans="3:4" s="5" customFormat="1" ht="12.95" customHeight="1"/>
    <row r="144" spans="3:4" s="5" customFormat="1" ht="12.95" customHeight="1"/>
    <row r="145" s="5" customFormat="1" ht="12.95" customHeight="1"/>
    <row r="146" s="5" customFormat="1" ht="12.95" customHeight="1"/>
    <row r="147" s="5" customFormat="1" ht="12.95" customHeight="1"/>
    <row r="148" s="5" customFormat="1" ht="12.95" customHeight="1"/>
    <row r="149" s="5" customFormat="1" ht="12.95" customHeight="1"/>
    <row r="150" s="5" customFormat="1" ht="12.95" customHeight="1"/>
    <row r="151" s="5" customFormat="1" ht="12.95" customHeight="1"/>
    <row r="152" s="5" customFormat="1" ht="12.95" customHeight="1"/>
    <row r="153" s="5" customFormat="1" ht="12.95" customHeight="1"/>
    <row r="154" s="5" customFormat="1" ht="12.95" customHeight="1"/>
    <row r="155" s="5" customFormat="1" ht="12.95" customHeight="1"/>
    <row r="156" s="5" customFormat="1" ht="12.95" customHeight="1"/>
    <row r="157" s="5" customFormat="1" ht="12.95" customHeight="1"/>
    <row r="158" s="5" customFormat="1" ht="12.95" customHeight="1"/>
    <row r="159" s="5" customFormat="1" ht="12.95" customHeight="1"/>
    <row r="160" s="5" customFormat="1" ht="12.95" customHeight="1"/>
    <row r="161" s="5" customFormat="1" ht="12.95" customHeight="1"/>
    <row r="162" s="5" customFormat="1" ht="12.95" customHeight="1"/>
    <row r="163" s="5" customFormat="1" ht="12.95" customHeight="1"/>
    <row r="164" s="5" customFormat="1" ht="12.95" customHeight="1"/>
    <row r="165" s="5" customFormat="1" ht="12.95" customHeight="1"/>
    <row r="166" s="5" customFormat="1" ht="12.95" customHeight="1"/>
    <row r="167" s="5" customFormat="1" ht="12.95" customHeight="1"/>
    <row r="168" s="5" customFormat="1" ht="12.95" customHeight="1"/>
    <row r="169" s="5" customFormat="1" ht="12.95" customHeight="1"/>
    <row r="170" s="5" customFormat="1" ht="12.95" customHeight="1"/>
    <row r="171" s="5" customFormat="1" ht="12.95" customHeight="1"/>
    <row r="172" s="5" customFormat="1" ht="12.95" customHeight="1"/>
    <row r="173" s="5" customFormat="1" ht="12.95" customHeight="1"/>
    <row r="174" s="5" customFormat="1" ht="12.95" customHeight="1"/>
    <row r="175" s="5" customFormat="1" ht="12.95" customHeight="1"/>
    <row r="176" s="5" customFormat="1" ht="12.95" customHeight="1"/>
    <row r="177" s="5" customFormat="1" ht="12.95" customHeight="1"/>
    <row r="178" s="5" customFormat="1" ht="12.95" customHeight="1"/>
    <row r="179" s="5" customFormat="1" ht="12.95" customHeight="1"/>
    <row r="180" s="5" customFormat="1" ht="12.95" customHeight="1"/>
    <row r="181" s="5" customFormat="1" ht="12.95" customHeight="1"/>
    <row r="182" s="5" customFormat="1" ht="12.95" customHeight="1"/>
    <row r="183" s="5" customFormat="1" ht="12.95" customHeight="1"/>
    <row r="184" s="5" customFormat="1" ht="12.95" customHeight="1"/>
    <row r="185" s="5" customFormat="1" ht="12.95" customHeight="1"/>
    <row r="186" s="5" customFormat="1" ht="12.95" customHeight="1"/>
    <row r="187" s="5" customFormat="1" ht="12.95" customHeight="1"/>
    <row r="188" s="5" customFormat="1" ht="12.95" customHeight="1"/>
    <row r="189" s="5" customFormat="1" ht="12.95" customHeight="1"/>
    <row r="190" s="5" customFormat="1" ht="12.95" customHeight="1"/>
    <row r="191" s="5" customFormat="1" ht="12.95" customHeight="1"/>
    <row r="192" s="5" customFormat="1" ht="12.95" customHeight="1"/>
    <row r="193" s="5" customFormat="1" ht="12.95" customHeight="1"/>
    <row r="194" s="5" customFormat="1" ht="12.95" customHeight="1"/>
    <row r="195" s="5" customFormat="1" ht="12.95" customHeight="1"/>
    <row r="196" s="5" customFormat="1" ht="12.95" customHeight="1"/>
    <row r="197" s="5" customFormat="1" ht="12.95" customHeight="1"/>
    <row r="198" s="5" customFormat="1" ht="12.95" customHeight="1"/>
    <row r="199" s="5" customFormat="1" ht="12.95" customHeight="1"/>
    <row r="200" s="5" customFormat="1" ht="12.95" customHeight="1"/>
    <row r="201" s="5" customFormat="1" ht="12.95" customHeight="1"/>
    <row r="202" s="5" customFormat="1" ht="12.95" customHeight="1"/>
    <row r="203" s="5" customFormat="1" ht="12.95" customHeight="1"/>
    <row r="204" s="5" customFormat="1" ht="12.95" customHeight="1"/>
    <row r="205" s="5" customFormat="1" ht="12.95" customHeight="1"/>
    <row r="206" s="5" customFormat="1" ht="12.95" customHeight="1"/>
    <row r="207" s="5" customFormat="1" ht="12.95" customHeight="1"/>
    <row r="208" s="5" customFormat="1" ht="12.95" customHeight="1"/>
    <row r="209" s="5" customFormat="1" ht="12.95" customHeight="1"/>
    <row r="210" s="5" customFormat="1" ht="12.95" customHeight="1"/>
    <row r="211" s="5" customFormat="1" ht="12.95" customHeight="1"/>
    <row r="212" s="5" customFormat="1" ht="12.95" customHeight="1"/>
    <row r="213" s="5" customFormat="1" ht="12.95" customHeight="1"/>
    <row r="214" s="5" customFormat="1" ht="12.95" customHeight="1"/>
    <row r="215" s="5" customFormat="1" ht="12.95" customHeight="1"/>
    <row r="216" s="5" customFormat="1" ht="12.95" customHeight="1"/>
    <row r="217" s="5" customFormat="1" ht="12.95" customHeight="1"/>
    <row r="218" s="5" customFormat="1" ht="12.95" customHeight="1"/>
    <row r="219" s="5" customFormat="1" ht="12.95" customHeight="1"/>
    <row r="220" s="5" customFormat="1" ht="12.95" customHeight="1"/>
    <row r="221" s="5" customFormat="1" ht="12.95" customHeight="1"/>
    <row r="222" s="5" customFormat="1" ht="12.95" customHeight="1"/>
    <row r="223" s="5" customFormat="1" ht="12.95" customHeight="1"/>
    <row r="224" s="5" customFormat="1" ht="12.95" customHeight="1"/>
    <row r="225" s="5" customFormat="1" ht="12.95" customHeight="1"/>
  </sheetData>
  <protectedRanges>
    <protectedRange sqref="A38:D38" name="Range1"/>
  </protectedRanges>
  <sortState xmlns:xlrd2="http://schemas.microsoft.com/office/spreadsheetml/2017/richdata2" ref="A21:Z49">
    <sortCondition ref="C21:C49"/>
  </sortState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19" sqref="A19:D20"/>
    </sheetView>
  </sheetViews>
  <sheetFormatPr defaultRowHeight="12.75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8" t="s">
        <v>49</v>
      </c>
      <c r="I1" s="9" t="s">
        <v>50</v>
      </c>
      <c r="J1" s="10" t="s">
        <v>51</v>
      </c>
    </row>
    <row r="2" spans="1:16">
      <c r="I2" s="11" t="s">
        <v>52</v>
      </c>
      <c r="J2" s="12" t="s">
        <v>53</v>
      </c>
    </row>
    <row r="3" spans="1:16">
      <c r="A3" s="13" t="s">
        <v>54</v>
      </c>
      <c r="I3" s="11" t="s">
        <v>55</v>
      </c>
      <c r="J3" s="12" t="s">
        <v>56</v>
      </c>
    </row>
    <row r="4" spans="1:16">
      <c r="I4" s="11" t="s">
        <v>57</v>
      </c>
      <c r="J4" s="12" t="s">
        <v>56</v>
      </c>
    </row>
    <row r="5" spans="1:16" ht="13.5" thickBot="1">
      <c r="I5" s="14" t="s">
        <v>58</v>
      </c>
      <c r="J5" s="15" t="s">
        <v>59</v>
      </c>
    </row>
    <row r="10" spans="1:16" ht="13.5" thickBot="1"/>
    <row r="11" spans="1:16" ht="12.75" customHeight="1" thickBot="1">
      <c r="A11" s="7" t="str">
        <f t="shared" ref="A11:A20" si="0">P11</f>
        <v>IBVS 5341 </v>
      </c>
      <c r="B11" s="4" t="str">
        <f t="shared" ref="B11:B20" si="1">IF(H11=INT(H11),"I","II")</f>
        <v>II</v>
      </c>
      <c r="C11" s="7">
        <f t="shared" ref="C11:C20" si="2">1*G11</f>
        <v>52548.439200000001</v>
      </c>
      <c r="D11" s="6" t="str">
        <f t="shared" ref="D11:D20" si="3">VLOOKUP(F11,I$1:J$5,2,FALSE)</f>
        <v>vis</v>
      </c>
      <c r="E11" s="16">
        <f>VLOOKUP(C11,Active!C$21:E$973,3,FALSE)</f>
        <v>-250.47548858327076</v>
      </c>
      <c r="F11" s="4" t="s">
        <v>58</v>
      </c>
      <c r="G11" s="6" t="str">
        <f t="shared" ref="G11:G20" si="4">MID(I11,3,LEN(I11)-3)</f>
        <v>52548.4392</v>
      </c>
      <c r="H11" s="7">
        <f t="shared" ref="H11:H20" si="5">1*K11</f>
        <v>126.5</v>
      </c>
      <c r="I11" s="17" t="s">
        <v>70</v>
      </c>
      <c r="J11" s="18" t="s">
        <v>71</v>
      </c>
      <c r="K11" s="17">
        <v>126.5</v>
      </c>
      <c r="L11" s="17" t="s">
        <v>72</v>
      </c>
      <c r="M11" s="18" t="s">
        <v>62</v>
      </c>
      <c r="N11" s="18" t="s">
        <v>63</v>
      </c>
      <c r="O11" s="19" t="s">
        <v>73</v>
      </c>
      <c r="P11" s="20" t="s">
        <v>74</v>
      </c>
    </row>
    <row r="12" spans="1:16" ht="12.75" customHeight="1" thickBot="1">
      <c r="A12" s="7" t="str">
        <f t="shared" si="0"/>
        <v>IBVS 5668 </v>
      </c>
      <c r="B12" s="4" t="str">
        <f t="shared" si="1"/>
        <v>II</v>
      </c>
      <c r="C12" s="7">
        <f t="shared" si="2"/>
        <v>52956.474699999999</v>
      </c>
      <c r="D12" s="6" t="str">
        <f t="shared" si="3"/>
        <v>vis</v>
      </c>
      <c r="E12" s="16">
        <f>VLOOKUP(C12,Active!C$21:E$973,3,FALSE)</f>
        <v>823.5141146278844</v>
      </c>
      <c r="F12" s="4" t="s">
        <v>58</v>
      </c>
      <c r="G12" s="6" t="str">
        <f t="shared" si="4"/>
        <v>52956.4747</v>
      </c>
      <c r="H12" s="7">
        <f t="shared" si="5"/>
        <v>1200.5</v>
      </c>
      <c r="I12" s="17" t="s">
        <v>75</v>
      </c>
      <c r="J12" s="18" t="s">
        <v>76</v>
      </c>
      <c r="K12" s="17">
        <v>1200.5</v>
      </c>
      <c r="L12" s="17" t="s">
        <v>77</v>
      </c>
      <c r="M12" s="18" t="s">
        <v>62</v>
      </c>
      <c r="N12" s="18" t="s">
        <v>63</v>
      </c>
      <c r="O12" s="19" t="s">
        <v>73</v>
      </c>
      <c r="P12" s="20" t="s">
        <v>78</v>
      </c>
    </row>
    <row r="13" spans="1:16" ht="12.75" customHeight="1" thickBot="1">
      <c r="A13" s="7" t="str">
        <f t="shared" si="0"/>
        <v>IBVS 5668 </v>
      </c>
      <c r="B13" s="4" t="str">
        <f t="shared" si="1"/>
        <v>I</v>
      </c>
      <c r="C13" s="7">
        <f t="shared" si="2"/>
        <v>53011.374199999998</v>
      </c>
      <c r="D13" s="6" t="str">
        <f t="shared" si="3"/>
        <v>vis</v>
      </c>
      <c r="E13" s="16">
        <f>VLOOKUP(C13,Active!C$21:E$973,3,FALSE)</f>
        <v>968.0150029611068</v>
      </c>
      <c r="F13" s="4" t="s">
        <v>58</v>
      </c>
      <c r="G13" s="6" t="str">
        <f t="shared" si="4"/>
        <v>53011.3742</v>
      </c>
      <c r="H13" s="7">
        <f t="shared" si="5"/>
        <v>1345</v>
      </c>
      <c r="I13" s="17" t="s">
        <v>79</v>
      </c>
      <c r="J13" s="18" t="s">
        <v>80</v>
      </c>
      <c r="K13" s="17">
        <v>1345</v>
      </c>
      <c r="L13" s="17" t="s">
        <v>81</v>
      </c>
      <c r="M13" s="18" t="s">
        <v>62</v>
      </c>
      <c r="N13" s="18" t="s">
        <v>63</v>
      </c>
      <c r="O13" s="19" t="s">
        <v>73</v>
      </c>
      <c r="P13" s="20" t="s">
        <v>78</v>
      </c>
    </row>
    <row r="14" spans="1:16" ht="12.75" customHeight="1" thickBot="1">
      <c r="A14" s="7" t="str">
        <f t="shared" si="0"/>
        <v>IBVS 5606 </v>
      </c>
      <c r="B14" s="4" t="str">
        <f t="shared" si="1"/>
        <v>I</v>
      </c>
      <c r="C14" s="7">
        <f t="shared" si="2"/>
        <v>53262.501100000001</v>
      </c>
      <c r="D14" s="6" t="str">
        <f t="shared" si="3"/>
        <v>vis</v>
      </c>
      <c r="E14" s="16">
        <f>VLOOKUP(C14,Active!C$21:E$973,3,FALSE)</f>
        <v>1629.0057248141118</v>
      </c>
      <c r="F14" s="4" t="s">
        <v>58</v>
      </c>
      <c r="G14" s="6" t="str">
        <f t="shared" si="4"/>
        <v>53262.5011</v>
      </c>
      <c r="H14" s="7">
        <f t="shared" si="5"/>
        <v>2006</v>
      </c>
      <c r="I14" s="17" t="s">
        <v>82</v>
      </c>
      <c r="J14" s="18" t="s">
        <v>83</v>
      </c>
      <c r="K14" s="17">
        <v>2006</v>
      </c>
      <c r="L14" s="17" t="s">
        <v>64</v>
      </c>
      <c r="M14" s="18" t="s">
        <v>62</v>
      </c>
      <c r="N14" s="18" t="s">
        <v>63</v>
      </c>
      <c r="O14" s="19" t="s">
        <v>84</v>
      </c>
      <c r="P14" s="20" t="s">
        <v>85</v>
      </c>
    </row>
    <row r="15" spans="1:16" ht="12.75" customHeight="1" thickBot="1">
      <c r="A15" s="7" t="str">
        <f t="shared" si="0"/>
        <v>IBVS 5603 </v>
      </c>
      <c r="B15" s="4" t="str">
        <f t="shared" si="1"/>
        <v>I</v>
      </c>
      <c r="C15" s="7">
        <f t="shared" si="2"/>
        <v>53331.647499999999</v>
      </c>
      <c r="D15" s="6" t="str">
        <f t="shared" si="3"/>
        <v>vis</v>
      </c>
      <c r="E15" s="16">
        <f>VLOOKUP(C15,Active!C$21:E$973,3,FALSE)</f>
        <v>1811.0058564190281</v>
      </c>
      <c r="F15" s="4" t="s">
        <v>58</v>
      </c>
      <c r="G15" s="6" t="str">
        <f t="shared" si="4"/>
        <v>53331.6475</v>
      </c>
      <c r="H15" s="7">
        <f t="shared" si="5"/>
        <v>2188</v>
      </c>
      <c r="I15" s="17" t="s">
        <v>86</v>
      </c>
      <c r="J15" s="18" t="s">
        <v>87</v>
      </c>
      <c r="K15" s="17">
        <v>2188</v>
      </c>
      <c r="L15" s="17" t="s">
        <v>88</v>
      </c>
      <c r="M15" s="18" t="s">
        <v>62</v>
      </c>
      <c r="N15" s="18" t="s">
        <v>63</v>
      </c>
      <c r="O15" s="19" t="s">
        <v>65</v>
      </c>
      <c r="P15" s="20" t="s">
        <v>89</v>
      </c>
    </row>
    <row r="16" spans="1:16" ht="12.75" customHeight="1" thickBot="1">
      <c r="A16" s="7" t="str">
        <f t="shared" si="0"/>
        <v>IBVS 5606 </v>
      </c>
      <c r="B16" s="4" t="str">
        <f t="shared" si="1"/>
        <v>I</v>
      </c>
      <c r="C16" s="7">
        <f t="shared" si="2"/>
        <v>53345.325499999999</v>
      </c>
      <c r="D16" s="6" t="str">
        <f t="shared" si="3"/>
        <v>vis</v>
      </c>
      <c r="E16" s="16">
        <f>VLOOKUP(C16,Active!C$21:E$973,3,FALSE)</f>
        <v>1847.0076988879362</v>
      </c>
      <c r="F16" s="4" t="s">
        <v>58</v>
      </c>
      <c r="G16" s="6" t="str">
        <f t="shared" si="4"/>
        <v>53345.3255</v>
      </c>
      <c r="H16" s="7">
        <f t="shared" si="5"/>
        <v>2224</v>
      </c>
      <c r="I16" s="17" t="s">
        <v>90</v>
      </c>
      <c r="J16" s="18" t="s">
        <v>91</v>
      </c>
      <c r="K16" s="17">
        <v>2224</v>
      </c>
      <c r="L16" s="17" t="s">
        <v>69</v>
      </c>
      <c r="M16" s="18" t="s">
        <v>62</v>
      </c>
      <c r="N16" s="18" t="s">
        <v>63</v>
      </c>
      <c r="O16" s="19" t="s">
        <v>84</v>
      </c>
      <c r="P16" s="20" t="s">
        <v>85</v>
      </c>
    </row>
    <row r="17" spans="1:16" ht="12.75" customHeight="1" thickBot="1">
      <c r="A17" s="7" t="str">
        <f t="shared" si="0"/>
        <v>IBVS 5606 </v>
      </c>
      <c r="B17" s="4" t="str">
        <f t="shared" si="1"/>
        <v>I</v>
      </c>
      <c r="C17" s="7">
        <f t="shared" si="2"/>
        <v>53351.403599999998</v>
      </c>
      <c r="D17" s="6" t="str">
        <f t="shared" si="3"/>
        <v>vis</v>
      </c>
      <c r="E17" s="16">
        <f>VLOOKUP(C17,Active!C$21:E$973,3,FALSE)</f>
        <v>1863.0058564190247</v>
      </c>
      <c r="F17" s="4" t="s">
        <v>58</v>
      </c>
      <c r="G17" s="6" t="str">
        <f t="shared" si="4"/>
        <v>53351.4036</v>
      </c>
      <c r="H17" s="7">
        <f t="shared" si="5"/>
        <v>2240</v>
      </c>
      <c r="I17" s="17" t="s">
        <v>92</v>
      </c>
      <c r="J17" s="18" t="s">
        <v>93</v>
      </c>
      <c r="K17" s="17">
        <v>2240</v>
      </c>
      <c r="L17" s="17" t="s">
        <v>94</v>
      </c>
      <c r="M17" s="18" t="s">
        <v>62</v>
      </c>
      <c r="N17" s="18" t="s">
        <v>63</v>
      </c>
      <c r="O17" s="19" t="s">
        <v>84</v>
      </c>
      <c r="P17" s="20" t="s">
        <v>85</v>
      </c>
    </row>
    <row r="18" spans="1:16" ht="12.75" customHeight="1" thickBot="1">
      <c r="A18" s="7" t="str">
        <f t="shared" si="0"/>
        <v>OEJV 0160 </v>
      </c>
      <c r="B18" s="4" t="str">
        <f t="shared" si="1"/>
        <v>I</v>
      </c>
      <c r="C18" s="7">
        <f t="shared" si="2"/>
        <v>56193.608809999998</v>
      </c>
      <c r="D18" s="6" t="str">
        <f t="shared" si="3"/>
        <v>vis</v>
      </c>
      <c r="E18" s="16">
        <f>VLOOKUP(C18,Active!C$21:E$973,3,FALSE)</f>
        <v>9343.9697571889137</v>
      </c>
      <c r="F18" s="4" t="s">
        <v>58</v>
      </c>
      <c r="G18" s="6" t="str">
        <f t="shared" si="4"/>
        <v>56193.60881</v>
      </c>
      <c r="H18" s="7">
        <f t="shared" si="5"/>
        <v>9721</v>
      </c>
      <c r="I18" s="17" t="s">
        <v>101</v>
      </c>
      <c r="J18" s="18" t="s">
        <v>102</v>
      </c>
      <c r="K18" s="17">
        <v>9721</v>
      </c>
      <c r="L18" s="17" t="s">
        <v>103</v>
      </c>
      <c r="M18" s="18" t="s">
        <v>60</v>
      </c>
      <c r="N18" s="18" t="s">
        <v>50</v>
      </c>
      <c r="O18" s="19" t="s">
        <v>104</v>
      </c>
      <c r="P18" s="20" t="s">
        <v>105</v>
      </c>
    </row>
    <row r="19" spans="1:16" ht="12.75" customHeight="1" thickBot="1">
      <c r="A19" s="7" t="str">
        <f t="shared" si="0"/>
        <v>VSB 46 </v>
      </c>
      <c r="B19" s="4" t="str">
        <f t="shared" si="1"/>
        <v>II</v>
      </c>
      <c r="C19" s="7">
        <f t="shared" si="2"/>
        <v>54142.967799999999</v>
      </c>
      <c r="D19" s="6" t="str">
        <f t="shared" si="3"/>
        <v>vis</v>
      </c>
      <c r="E19" s="16">
        <f>VLOOKUP(C19,Active!C$21:E$973,3,FALSE)</f>
        <v>3946.4807527801504</v>
      </c>
      <c r="F19" s="4" t="s">
        <v>58</v>
      </c>
      <c r="G19" s="6" t="str">
        <f t="shared" si="4"/>
        <v>54142.9678</v>
      </c>
      <c r="H19" s="7">
        <f t="shared" si="5"/>
        <v>4323.5</v>
      </c>
      <c r="I19" s="17" t="s">
        <v>95</v>
      </c>
      <c r="J19" s="18" t="s">
        <v>96</v>
      </c>
      <c r="K19" s="17">
        <v>4323.5</v>
      </c>
      <c r="L19" s="17" t="s">
        <v>97</v>
      </c>
      <c r="M19" s="18" t="s">
        <v>60</v>
      </c>
      <c r="N19" s="18" t="s">
        <v>61</v>
      </c>
      <c r="O19" s="19" t="s">
        <v>66</v>
      </c>
      <c r="P19" s="20" t="s">
        <v>67</v>
      </c>
    </row>
    <row r="20" spans="1:16" ht="12.75" customHeight="1" thickBot="1">
      <c r="A20" s="7" t="str">
        <f t="shared" si="0"/>
        <v>VSB 48 </v>
      </c>
      <c r="B20" s="4" t="str">
        <f t="shared" si="1"/>
        <v>I</v>
      </c>
      <c r="C20" s="7">
        <f t="shared" si="2"/>
        <v>54808.024700000002</v>
      </c>
      <c r="D20" s="6" t="str">
        <f t="shared" si="3"/>
        <v>vis</v>
      </c>
      <c r="E20" s="16">
        <f>VLOOKUP(C20,Active!C$21:E$973,3,FALSE)</f>
        <v>5696.9759821017351</v>
      </c>
      <c r="F20" s="4" t="s">
        <v>58</v>
      </c>
      <c r="G20" s="6" t="str">
        <f t="shared" si="4"/>
        <v>54808.0247</v>
      </c>
      <c r="H20" s="7">
        <f t="shared" si="5"/>
        <v>6074</v>
      </c>
      <c r="I20" s="17" t="s">
        <v>98</v>
      </c>
      <c r="J20" s="18" t="s">
        <v>99</v>
      </c>
      <c r="K20" s="17">
        <v>6074</v>
      </c>
      <c r="L20" s="17" t="s">
        <v>100</v>
      </c>
      <c r="M20" s="18" t="s">
        <v>60</v>
      </c>
      <c r="N20" s="18" t="s">
        <v>61</v>
      </c>
      <c r="O20" s="19" t="s">
        <v>66</v>
      </c>
      <c r="P20" s="20" t="s">
        <v>68</v>
      </c>
    </row>
    <row r="21" spans="1:16">
      <c r="B21" s="4"/>
      <c r="F21" s="4"/>
    </row>
    <row r="22" spans="1:16">
      <c r="B22" s="4"/>
      <c r="F22" s="4"/>
    </row>
    <row r="23" spans="1:16">
      <c r="B23" s="4"/>
      <c r="F23" s="4"/>
    </row>
    <row r="24" spans="1:16">
      <c r="B24" s="4"/>
      <c r="F24" s="4"/>
    </row>
    <row r="25" spans="1:16">
      <c r="B25" s="4"/>
      <c r="F25" s="4"/>
    </row>
    <row r="26" spans="1:16">
      <c r="B26" s="4"/>
      <c r="F26" s="4"/>
    </row>
    <row r="27" spans="1:16">
      <c r="B27" s="4"/>
      <c r="F27" s="4"/>
    </row>
    <row r="28" spans="1:16">
      <c r="B28" s="4"/>
      <c r="F28" s="4"/>
    </row>
    <row r="29" spans="1:16">
      <c r="B29" s="4"/>
      <c r="F29" s="4"/>
    </row>
    <row r="30" spans="1:16">
      <c r="B30" s="4"/>
      <c r="F30" s="4"/>
    </row>
    <row r="31" spans="1:16">
      <c r="B31" s="4"/>
      <c r="F31" s="4"/>
    </row>
    <row r="32" spans="1:16">
      <c r="B32" s="4"/>
      <c r="F32" s="4"/>
    </row>
    <row r="33" spans="2:6">
      <c r="B33" s="4"/>
      <c r="F33" s="4"/>
    </row>
    <row r="34" spans="2:6">
      <c r="B34" s="4"/>
      <c r="F34" s="4"/>
    </row>
    <row r="35" spans="2:6">
      <c r="B35" s="4"/>
      <c r="F35" s="4"/>
    </row>
    <row r="36" spans="2:6">
      <c r="B36" s="4"/>
      <c r="F36" s="4"/>
    </row>
    <row r="37" spans="2:6">
      <c r="B37" s="4"/>
      <c r="F37" s="4"/>
    </row>
    <row r="38" spans="2:6">
      <c r="B38" s="4"/>
      <c r="F38" s="4"/>
    </row>
    <row r="39" spans="2:6">
      <c r="B39" s="4"/>
      <c r="F39" s="4"/>
    </row>
    <row r="40" spans="2:6">
      <c r="B40" s="4"/>
      <c r="F40" s="4"/>
    </row>
    <row r="41" spans="2:6">
      <c r="B41" s="4"/>
      <c r="F41" s="4"/>
    </row>
    <row r="42" spans="2:6">
      <c r="B42" s="4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</sheetData>
  <phoneticPr fontId="8" type="noConversion"/>
  <hyperlinks>
    <hyperlink ref="P11" r:id="rId1" display="http://www.konkoly.hu/cgi-bin/IBVS?5341" xr:uid="{00000000-0004-0000-0100-000000000000}"/>
    <hyperlink ref="P12" r:id="rId2" display="http://www.konkoly.hu/cgi-bin/IBVS?5668" xr:uid="{00000000-0004-0000-0100-000001000000}"/>
    <hyperlink ref="P13" r:id="rId3" display="http://www.konkoly.hu/cgi-bin/IBVS?5668" xr:uid="{00000000-0004-0000-0100-000002000000}"/>
    <hyperlink ref="P14" r:id="rId4" display="http://www.konkoly.hu/cgi-bin/IBVS?5606" xr:uid="{00000000-0004-0000-0100-000003000000}"/>
    <hyperlink ref="P15" r:id="rId5" display="http://www.konkoly.hu/cgi-bin/IBVS?5603" xr:uid="{00000000-0004-0000-0100-000004000000}"/>
    <hyperlink ref="P16" r:id="rId6" display="http://www.konkoly.hu/cgi-bin/IBVS?5606" xr:uid="{00000000-0004-0000-0100-000005000000}"/>
    <hyperlink ref="P17" r:id="rId7" display="http://www.konkoly.hu/cgi-bin/IBVS?5606" xr:uid="{00000000-0004-0000-0100-000006000000}"/>
    <hyperlink ref="P19" r:id="rId8" display="http://vsolj.cetus-net.org/no46.pdf" xr:uid="{00000000-0004-0000-0100-000007000000}"/>
    <hyperlink ref="P20" r:id="rId9" display="http://vsolj.cetus-net.org/no48.pdf" xr:uid="{00000000-0004-0000-0100-000008000000}"/>
    <hyperlink ref="P18" r:id="rId10" display="http://var.astro.cz/oejv/issues/oejv0160.pdf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2024-07-16T04:19:47Z</dcterms:modified>
</cp:coreProperties>
</file>