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68B2D4A7-6DC2-4386-B725-46E858044CF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 1" sheetId="1" r:id="rId1"/>
    <sheet name="Active 2" sheetId="2" r:id="rId2"/>
  </sheets>
  <calcPr calcId="181029"/>
</workbook>
</file>

<file path=xl/calcChain.xml><?xml version="1.0" encoding="utf-8"?>
<calcChain xmlns="http://schemas.openxmlformats.org/spreadsheetml/2006/main">
  <c r="F14" i="2" l="1"/>
  <c r="F14" i="1"/>
  <c r="F11" i="2"/>
  <c r="E21" i="2"/>
  <c r="F21" i="2"/>
  <c r="G21" i="2"/>
  <c r="I21" i="2"/>
  <c r="E23" i="2"/>
  <c r="F23" i="2"/>
  <c r="G23" i="2"/>
  <c r="J23" i="2"/>
  <c r="E24" i="2"/>
  <c r="F24" i="2"/>
  <c r="G24" i="2"/>
  <c r="J24" i="2"/>
  <c r="E25" i="2"/>
  <c r="F25" i="2"/>
  <c r="G25" i="2"/>
  <c r="J25" i="2"/>
  <c r="G11" i="2"/>
  <c r="C17" i="2"/>
  <c r="A22" i="2"/>
  <c r="C22" i="2"/>
  <c r="E22" i="2"/>
  <c r="F22" i="2"/>
  <c r="Q22" i="2"/>
  <c r="Q21" i="2"/>
  <c r="Q23" i="2"/>
  <c r="Q24" i="2"/>
  <c r="Q25" i="2"/>
  <c r="F11" i="1"/>
  <c r="E21" i="1"/>
  <c r="F21" i="1" s="1"/>
  <c r="G21" i="1" s="1"/>
  <c r="I21" i="1" s="1"/>
  <c r="E23" i="1"/>
  <c r="F23" i="1" s="1"/>
  <c r="G23" i="1" s="1"/>
  <c r="J23" i="1" s="1"/>
  <c r="E24" i="1"/>
  <c r="F24" i="1" s="1"/>
  <c r="G24" i="1" s="1"/>
  <c r="J24" i="1" s="1"/>
  <c r="E25" i="1"/>
  <c r="F25" i="1"/>
  <c r="G25" i="1"/>
  <c r="J25" i="1" s="1"/>
  <c r="Q21" i="1"/>
  <c r="Q23" i="1"/>
  <c r="Q24" i="1"/>
  <c r="Q25" i="1"/>
  <c r="C17" i="1"/>
  <c r="G11" i="1"/>
  <c r="G22" i="2"/>
  <c r="H22" i="2"/>
  <c r="C11" i="2"/>
  <c r="C12" i="2"/>
  <c r="F15" i="2" l="1"/>
  <c r="E22" i="1"/>
  <c r="F22" i="1" s="1"/>
  <c r="G22" i="1" s="1"/>
  <c r="Q22" i="1"/>
  <c r="F15" i="1"/>
  <c r="O25" i="2"/>
  <c r="S25" i="2" s="1"/>
  <c r="O21" i="2"/>
  <c r="S21" i="2" s="1"/>
  <c r="C15" i="2"/>
  <c r="O24" i="2"/>
  <c r="S24" i="2" s="1"/>
  <c r="O23" i="2"/>
  <c r="S23" i="2" s="1"/>
  <c r="O22" i="2"/>
  <c r="S22" i="2" s="1"/>
  <c r="C16" i="2"/>
  <c r="D18" i="2" s="1"/>
  <c r="C11" i="1"/>
  <c r="C12" i="1"/>
  <c r="F16" i="2" l="1"/>
  <c r="F18" i="2" s="1"/>
  <c r="H22" i="1"/>
  <c r="C16" i="1"/>
  <c r="D18" i="1" s="1"/>
  <c r="O23" i="1"/>
  <c r="S23" i="1" s="1"/>
  <c r="O25" i="1"/>
  <c r="S25" i="1" s="1"/>
  <c r="O22" i="1"/>
  <c r="S22" i="1" s="1"/>
  <c r="C15" i="1"/>
  <c r="O24" i="1"/>
  <c r="S24" i="1" s="1"/>
  <c r="O21" i="1"/>
  <c r="S21" i="1" s="1"/>
  <c r="S19" i="2"/>
  <c r="C18" i="2"/>
  <c r="F17" i="2" l="1"/>
  <c r="F16" i="1"/>
  <c r="F18" i="1" s="1"/>
  <c r="C18" i="1"/>
  <c r="S19" i="1"/>
  <c r="F17" i="1" l="1"/>
</calcChain>
</file>

<file path=xl/sharedStrings.xml><?xml version="1.0" encoding="utf-8"?>
<sst xmlns="http://schemas.openxmlformats.org/spreadsheetml/2006/main" count="129" uniqueCount="60">
  <si>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</si>
  <si>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</si>
  <si>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</si>
  <si>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</si>
  <si>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</si>
  <si>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</si>
  <si>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</si>
  <si>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</si>
  <si>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</si>
  <si>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</si>
  <si>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</si>
  <si>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</si>
  <si>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</si>
  <si>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</si>
  <si>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</si>
  <si>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</si>
  <si>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</si>
  <si>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</si>
  <si>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</si>
  <si>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</si>
  <si>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</si>
  <si>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</si>
  <si>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</si>
  <si>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</si>
  <si>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</si>
  <si>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</si>
  <si>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</si>
  <si>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</si>
  <si>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</si>
  <si>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</si>
  <si>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</si>
  <si>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</si>
  <si>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</si>
  <si>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</si>
  <si>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</si>
  <si>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</si>
  <si>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</si>
  <si>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G0044-1314</t>
  </si>
  <si>
    <t>EC / ESD</t>
  </si>
  <si>
    <t>VSX</t>
  </si>
  <si>
    <t>OEJV 0155</t>
  </si>
  <si>
    <t>I</t>
  </si>
  <si>
    <t>0,0100</t>
  </si>
  <si>
    <t>IBVS 5960</t>
  </si>
  <si>
    <t>II</t>
  </si>
  <si>
    <t>IBVS 6011</t>
  </si>
  <si>
    <t>IBVS 6042</t>
  </si>
  <si>
    <t>OEJV</t>
  </si>
  <si>
    <t>ToMcat</t>
  </si>
  <si>
    <t>Better period</t>
  </si>
  <si>
    <t>ToMcat 2014-01-24</t>
  </si>
  <si>
    <t>Cet</t>
  </si>
  <si>
    <t>IW Cet / GSC 0044-1314</t>
  </si>
  <si>
    <t>Both files active</t>
  </si>
  <si>
    <t>CCD</t>
  </si>
  <si>
    <t xml:space="preserve">Mag </t>
  </si>
  <si>
    <t>Next ToM-P</t>
  </si>
  <si>
    <t>Next ToM-S</t>
  </si>
  <si>
    <t>CCD?</t>
  </si>
  <si>
    <t>13.20-14.10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</si>
</sst>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21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color indexed="17"/>
      <name val="Arial"/>
      <family val="2"/>
    </font>
    <font>
      <b/>
      <sz val="10"/>
      <color rgb="FFFF0000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  <font>
      <b/>
      <sz val="10"/>
      <color rgb="FF0070C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8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1" applyNumberFormat="0" applyFont="0" applyFill="0" applyAlignment="0" applyProtection="0"/>
  </cellStyleXfs>
  <cellXfs count="48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Alignment="1"/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>
      <alignment vertical="top"/>
    </xf>
    <xf numFmtId="0" fontId="12" fillId="0" borderId="0" xfId="0" applyFont="1" applyAlignment="1">
      <alignment horizontal="left"/>
    </xf>
    <xf numFmtId="0" fontId="14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0" fillId="0" borderId="0" xfId="0" applyFont="1" applyAlignment="1">
      <alignment horizontal="left"/>
    </xf>
    <xf numFmtId="0" fontId="0" fillId="2" borderId="0" xfId="0" applyFill="1">
      <alignment vertical="top"/>
    </xf>
    <xf numFmtId="0" fontId="15" fillId="0" borderId="0" xfId="0" applyFont="1">
      <alignment vertical="top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12" fillId="0" borderId="0" xfId="0" applyFont="1" applyAlignment="1"/>
    <xf numFmtId="0" fontId="0" fillId="0" borderId="0" xfId="0" applyAlignment="1">
      <alignment horizontal="right"/>
    </xf>
    <xf numFmtId="0" fontId="0" fillId="3" borderId="5" xfId="0" applyFill="1" applyBorder="1" applyAlignment="1">
      <alignment horizontal="right" vertical="center"/>
    </xf>
    <xf numFmtId="0" fontId="0" fillId="3" borderId="6" xfId="0" applyFill="1" applyBorder="1" applyAlignment="1">
      <alignment horizontal="center" vertical="center"/>
    </xf>
    <xf numFmtId="0" fontId="18" fillId="0" borderId="7" xfId="0" applyFont="1" applyBorder="1" applyAlignment="1">
      <alignment horizontal="right" vertical="center"/>
    </xf>
    <xf numFmtId="0" fontId="20" fillId="0" borderId="8" xfId="0" applyFont="1" applyBorder="1" applyAlignment="1"/>
    <xf numFmtId="0" fontId="19" fillId="0" borderId="8" xfId="0" applyFont="1" applyBorder="1" applyAlignment="1"/>
    <xf numFmtId="22" fontId="18" fillId="0" borderId="7" xfId="0" applyNumberFormat="1" applyFont="1" applyBorder="1" applyAlignment="1">
      <alignment horizontal="right" vertical="center"/>
    </xf>
    <xf numFmtId="22" fontId="19" fillId="0" borderId="8" xfId="0" applyNumberFormat="1" applyFont="1" applyBorder="1" applyAlignment="1"/>
    <xf numFmtId="22" fontId="19" fillId="0" borderId="9" xfId="0" applyNumberFormat="1" applyFont="1" applyBorder="1" applyAlignment="1"/>
    <xf numFmtId="0" fontId="18" fillId="0" borderId="10" xfId="0" applyFont="1" applyBorder="1" applyAlignment="1">
      <alignment horizontal="right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right" vertical="center"/>
    </xf>
    <xf numFmtId="0" fontId="17" fillId="0" borderId="0" xfId="0" applyFont="1" applyAlignment="1">
      <alignment horizontal="left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IW Cet - O-C Diagr.</a:t>
            </a:r>
          </a:p>
        </c:rich>
      </c:tx>
      <c:layout>
        <c:manualLayout>
          <c:xMode val="edge"/>
          <c:yMode val="edge"/>
          <c:x val="0.3909774436090225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1203007518796988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  <c:pt idx="2">
                    <c:v>1.5E-3</c:v>
                  </c:pt>
                  <c:pt idx="3">
                    <c:v>2.9999999999999997E-4</c:v>
                  </c:pt>
                  <c:pt idx="4">
                    <c:v>3.0000000000000003E-4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  <c:pt idx="2">
                    <c:v>1.5E-3</c:v>
                  </c:pt>
                  <c:pt idx="3">
                    <c:v>2.9999999999999997E-4</c:v>
                  </c:pt>
                  <c:pt idx="4">
                    <c:v>3.0000000000000003E-4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-1670.5</c:v>
                </c:pt>
                <c:pt idx="1">
                  <c:v>0</c:v>
                </c:pt>
                <c:pt idx="2">
                  <c:v>2150</c:v>
                </c:pt>
                <c:pt idx="3">
                  <c:v>3306.5</c:v>
                </c:pt>
                <c:pt idx="4">
                  <c:v>4177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E58-4DE0-AA6B-FF9B3F59867E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1.5E-3</c:v>
                  </c:pt>
                  <c:pt idx="3">
                    <c:v>2.9999999999999997E-4</c:v>
                  </c:pt>
                  <c:pt idx="4">
                    <c:v>3.0000000000000003E-4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1.5E-3</c:v>
                  </c:pt>
                  <c:pt idx="3">
                    <c:v>2.9999999999999997E-4</c:v>
                  </c:pt>
                  <c:pt idx="4">
                    <c:v>3.0000000000000003E-4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-1670.5</c:v>
                </c:pt>
                <c:pt idx="1">
                  <c:v>0</c:v>
                </c:pt>
                <c:pt idx="2">
                  <c:v>2150</c:v>
                </c:pt>
                <c:pt idx="3">
                  <c:v>3306.5</c:v>
                </c:pt>
                <c:pt idx="4">
                  <c:v>4177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  <c:pt idx="0">
                  <c:v>1.8019999988609925E-3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E58-4DE0-AA6B-FF9B3F59867E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CCD?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1.5E-3</c:v>
                  </c:pt>
                  <c:pt idx="3">
                    <c:v>2.9999999999999997E-4</c:v>
                  </c:pt>
                  <c:pt idx="4">
                    <c:v>3.0000000000000003E-4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1.5E-3</c:v>
                  </c:pt>
                  <c:pt idx="3">
                    <c:v>2.9999999999999997E-4</c:v>
                  </c:pt>
                  <c:pt idx="4">
                    <c:v>3.0000000000000003E-4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-1670.5</c:v>
                </c:pt>
                <c:pt idx="1">
                  <c:v>0</c:v>
                </c:pt>
                <c:pt idx="2">
                  <c:v>2150</c:v>
                </c:pt>
                <c:pt idx="3">
                  <c:v>3306.5</c:v>
                </c:pt>
                <c:pt idx="4">
                  <c:v>4177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  <c:pt idx="2">
                  <c:v>-7.900000004156027E-3</c:v>
                </c:pt>
                <c:pt idx="3">
                  <c:v>3.0140000017127022E-3</c:v>
                </c:pt>
                <c:pt idx="4">
                  <c:v>2.3119999968912452E-3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E58-4DE0-AA6B-FF9B3F59867E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1.5E-3</c:v>
                  </c:pt>
                  <c:pt idx="3">
                    <c:v>2.9999999999999997E-4</c:v>
                  </c:pt>
                  <c:pt idx="4">
                    <c:v>3.0000000000000003E-4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1.5E-3</c:v>
                  </c:pt>
                  <c:pt idx="3">
                    <c:v>2.9999999999999997E-4</c:v>
                  </c:pt>
                  <c:pt idx="4">
                    <c:v>3.0000000000000003E-4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-1670.5</c:v>
                </c:pt>
                <c:pt idx="1">
                  <c:v>0</c:v>
                </c:pt>
                <c:pt idx="2">
                  <c:v>2150</c:v>
                </c:pt>
                <c:pt idx="3">
                  <c:v>3306.5</c:v>
                </c:pt>
                <c:pt idx="4">
                  <c:v>4177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E58-4DE0-AA6B-FF9B3F59867E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1.5E-3</c:v>
                  </c:pt>
                  <c:pt idx="3">
                    <c:v>2.9999999999999997E-4</c:v>
                  </c:pt>
                  <c:pt idx="4">
                    <c:v>3.0000000000000003E-4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1.5E-3</c:v>
                  </c:pt>
                  <c:pt idx="3">
                    <c:v>2.9999999999999997E-4</c:v>
                  </c:pt>
                  <c:pt idx="4">
                    <c:v>3.0000000000000003E-4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-1670.5</c:v>
                </c:pt>
                <c:pt idx="1">
                  <c:v>0</c:v>
                </c:pt>
                <c:pt idx="2">
                  <c:v>2150</c:v>
                </c:pt>
                <c:pt idx="3">
                  <c:v>3306.5</c:v>
                </c:pt>
                <c:pt idx="4">
                  <c:v>4177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E58-4DE0-AA6B-FF9B3F59867E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1.5E-3</c:v>
                  </c:pt>
                  <c:pt idx="3">
                    <c:v>2.9999999999999997E-4</c:v>
                  </c:pt>
                  <c:pt idx="4">
                    <c:v>3.0000000000000003E-4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1.5E-3</c:v>
                  </c:pt>
                  <c:pt idx="3">
                    <c:v>2.9999999999999997E-4</c:v>
                  </c:pt>
                  <c:pt idx="4">
                    <c:v>3.0000000000000003E-4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-1670.5</c:v>
                </c:pt>
                <c:pt idx="1">
                  <c:v>0</c:v>
                </c:pt>
                <c:pt idx="2">
                  <c:v>2150</c:v>
                </c:pt>
                <c:pt idx="3">
                  <c:v>3306.5</c:v>
                </c:pt>
                <c:pt idx="4">
                  <c:v>4177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E58-4DE0-AA6B-FF9B3F59867E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1.5E-3</c:v>
                  </c:pt>
                  <c:pt idx="3">
                    <c:v>2.9999999999999997E-4</c:v>
                  </c:pt>
                  <c:pt idx="4">
                    <c:v>3.0000000000000003E-4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1.5E-3</c:v>
                  </c:pt>
                  <c:pt idx="3">
                    <c:v>2.9999999999999997E-4</c:v>
                  </c:pt>
                  <c:pt idx="4">
                    <c:v>3.0000000000000003E-4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-1670.5</c:v>
                </c:pt>
                <c:pt idx="1">
                  <c:v>0</c:v>
                </c:pt>
                <c:pt idx="2">
                  <c:v>2150</c:v>
                </c:pt>
                <c:pt idx="3">
                  <c:v>3306.5</c:v>
                </c:pt>
                <c:pt idx="4">
                  <c:v>4177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E58-4DE0-AA6B-FF9B3F59867E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-1670.5</c:v>
                </c:pt>
                <c:pt idx="1">
                  <c:v>0</c:v>
                </c:pt>
                <c:pt idx="2">
                  <c:v>2150</c:v>
                </c:pt>
                <c:pt idx="3">
                  <c:v>3306.5</c:v>
                </c:pt>
                <c:pt idx="4">
                  <c:v>4177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-2.7543640828396268E-4</c:v>
                </c:pt>
                <c:pt idx="1">
                  <c:v>-2.1347345348549882E-4</c:v>
                </c:pt>
                <c:pt idx="2">
                  <c:v>-1.3372466401127115E-4</c:v>
                </c:pt>
                <c:pt idx="3">
                  <c:v>-9.0827233766180759E-5</c:v>
                </c:pt>
                <c:pt idx="4">
                  <c:v>-5.8538247144173712E-5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E58-4DE0-AA6B-FF9B3F59867E}"/>
            </c:ext>
          </c:extLst>
        </c:ser>
        <c:ser>
          <c:idx val="8"/>
          <c:order val="8"/>
          <c:tx>
            <c:strRef>
              <c:f>'Active 1'!$R$20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-1670.5</c:v>
                </c:pt>
                <c:pt idx="1">
                  <c:v>0</c:v>
                </c:pt>
                <c:pt idx="2">
                  <c:v>2150</c:v>
                </c:pt>
                <c:pt idx="3">
                  <c:v>3306.5</c:v>
                </c:pt>
                <c:pt idx="4">
                  <c:v>4177</c:v>
                </c:pt>
              </c:numCache>
            </c:numRef>
          </c:xVal>
          <c:yVal>
            <c:numRef>
              <c:f>'Active 1'!$R$21:$R$999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DE58-4DE0-AA6B-FF9B3F5986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0951048"/>
        <c:axId val="1"/>
      </c:scatterChart>
      <c:valAx>
        <c:axId val="39095104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932330827067664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9095104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7293233082706766"/>
          <c:y val="0.92375366568914952"/>
          <c:w val="0.8030075187969925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IW Cet - O-C Diagr.</a:t>
            </a:r>
          </a:p>
        </c:rich>
      </c:tx>
      <c:layout>
        <c:manualLayout>
          <c:xMode val="edge"/>
          <c:yMode val="edge"/>
          <c:x val="0.42721201516477109"/>
          <c:y val="4.72087807205917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187969924812031"/>
          <c:y val="0.14035127795846455"/>
          <c:w val="0.8030075187969925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2'!$H$20:$H$20</c:f>
              <c:strCache>
                <c:ptCount val="1"/>
                <c:pt idx="0">
                  <c:v>ToMcat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  <c:pt idx="2">
                    <c:v>1.5E-3</c:v>
                  </c:pt>
                  <c:pt idx="3">
                    <c:v>2.9999999999999997E-4</c:v>
                  </c:pt>
                  <c:pt idx="4">
                    <c:v>3.0000000000000003E-4</c:v>
                  </c:pt>
                </c:numCache>
              </c:numRef>
            </c:plus>
            <c:minus>
              <c:numRef>
                <c:f>'Active 2'!$D$21:$D$239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  <c:pt idx="2">
                    <c:v>1.5E-3</c:v>
                  </c:pt>
                  <c:pt idx="3">
                    <c:v>2.9999999999999997E-4</c:v>
                  </c:pt>
                  <c:pt idx="4">
                    <c:v>3.0000000000000003E-4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-2499.5</c:v>
                </c:pt>
                <c:pt idx="1">
                  <c:v>0</c:v>
                </c:pt>
                <c:pt idx="2">
                  <c:v>3217</c:v>
                </c:pt>
                <c:pt idx="3">
                  <c:v>4947.5</c:v>
                </c:pt>
                <c:pt idx="4">
                  <c:v>6250</c:v>
                </c:pt>
              </c:numCache>
            </c:numRef>
          </c:xVal>
          <c:yVal>
            <c:numRef>
              <c:f>'Active 2'!$H$21:$H$999</c:f>
              <c:numCache>
                <c:formatCode>General</c:formatCode>
                <c:ptCount val="979"/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91A-4A9C-A701-E7DBD105CF9D}"/>
            </c:ext>
          </c:extLst>
        </c:ser>
        <c:ser>
          <c:idx val="1"/>
          <c:order val="1"/>
          <c:tx>
            <c:strRef>
              <c:f>'Active 2'!$I$20:$I$20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1.5E-3</c:v>
                  </c:pt>
                  <c:pt idx="3">
                    <c:v>2.9999999999999997E-4</c:v>
                  </c:pt>
                  <c:pt idx="4">
                    <c:v>3.0000000000000003E-4</c:v>
                  </c:pt>
                </c:numCache>
              </c:numRef>
            </c:plus>
            <c:min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1.5E-3</c:v>
                  </c:pt>
                  <c:pt idx="3">
                    <c:v>2.9999999999999997E-4</c:v>
                  </c:pt>
                  <c:pt idx="4">
                    <c:v>3.0000000000000003E-4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-2499.5</c:v>
                </c:pt>
                <c:pt idx="1">
                  <c:v>0</c:v>
                </c:pt>
                <c:pt idx="2">
                  <c:v>3217</c:v>
                </c:pt>
                <c:pt idx="3">
                  <c:v>4947.5</c:v>
                </c:pt>
                <c:pt idx="4">
                  <c:v>6250</c:v>
                </c:pt>
              </c:numCache>
            </c:numRef>
          </c:xVal>
          <c:yVal>
            <c:numRef>
              <c:f>'Active 2'!$I$21:$I$999</c:f>
              <c:numCache>
                <c:formatCode>General</c:formatCode>
                <c:ptCount val="979"/>
                <c:pt idx="0">
                  <c:v>1.5499999426538125E-4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91A-4A9C-A701-E7DBD105CF9D}"/>
            </c:ext>
          </c:extLst>
        </c:ser>
        <c:ser>
          <c:idx val="3"/>
          <c:order val="2"/>
          <c:tx>
            <c:strRef>
              <c:f>'Active 2'!$J$20</c:f>
              <c:strCache>
                <c:ptCount val="1"/>
                <c:pt idx="0">
                  <c:v>CCD?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1.5E-3</c:v>
                  </c:pt>
                  <c:pt idx="3">
                    <c:v>2.9999999999999997E-4</c:v>
                  </c:pt>
                  <c:pt idx="4">
                    <c:v>3.0000000000000003E-4</c:v>
                  </c:pt>
                </c:numCache>
              </c:numRef>
            </c:plus>
            <c:min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1.5E-3</c:v>
                  </c:pt>
                  <c:pt idx="3">
                    <c:v>2.9999999999999997E-4</c:v>
                  </c:pt>
                  <c:pt idx="4">
                    <c:v>3.0000000000000003E-4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-2499.5</c:v>
                </c:pt>
                <c:pt idx="1">
                  <c:v>0</c:v>
                </c:pt>
                <c:pt idx="2">
                  <c:v>3217</c:v>
                </c:pt>
                <c:pt idx="3">
                  <c:v>4947.5</c:v>
                </c:pt>
                <c:pt idx="4">
                  <c:v>6250</c:v>
                </c:pt>
              </c:numCache>
            </c:numRef>
          </c:xVal>
          <c:yVal>
            <c:numRef>
              <c:f>'Active 2'!$J$21:$J$999</c:f>
              <c:numCache>
                <c:formatCode>General</c:formatCode>
                <c:ptCount val="979"/>
                <c:pt idx="2">
                  <c:v>1.9699999975273386E-3</c:v>
                </c:pt>
                <c:pt idx="3">
                  <c:v>1.1250000025029294E-3</c:v>
                </c:pt>
                <c:pt idx="4">
                  <c:v>3.7999999985913746E-3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91A-4A9C-A701-E7DBD105CF9D}"/>
            </c:ext>
          </c:extLst>
        </c:ser>
        <c:ser>
          <c:idx val="4"/>
          <c:order val="3"/>
          <c:tx>
            <c:strRef>
              <c:f>'Active 2'!$K$20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1.5E-3</c:v>
                  </c:pt>
                  <c:pt idx="3">
                    <c:v>2.9999999999999997E-4</c:v>
                  </c:pt>
                  <c:pt idx="4">
                    <c:v>3.0000000000000003E-4</c:v>
                  </c:pt>
                </c:numCache>
              </c:numRef>
            </c:plus>
            <c:min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1.5E-3</c:v>
                  </c:pt>
                  <c:pt idx="3">
                    <c:v>2.9999999999999997E-4</c:v>
                  </c:pt>
                  <c:pt idx="4">
                    <c:v>3.0000000000000003E-4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-2499.5</c:v>
                </c:pt>
                <c:pt idx="1">
                  <c:v>0</c:v>
                </c:pt>
                <c:pt idx="2">
                  <c:v>3217</c:v>
                </c:pt>
                <c:pt idx="3">
                  <c:v>4947.5</c:v>
                </c:pt>
                <c:pt idx="4">
                  <c:v>6250</c:v>
                </c:pt>
              </c:numCache>
            </c:numRef>
          </c:xVal>
          <c:yVal>
            <c:numRef>
              <c:f>'Active 2'!$K$21:$K$999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91A-4A9C-A701-E7DBD105CF9D}"/>
            </c:ext>
          </c:extLst>
        </c:ser>
        <c:ser>
          <c:idx val="2"/>
          <c:order val="4"/>
          <c:tx>
            <c:strRef>
              <c:f>'Active 2'!$L$20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1.5E-3</c:v>
                  </c:pt>
                  <c:pt idx="3">
                    <c:v>2.9999999999999997E-4</c:v>
                  </c:pt>
                  <c:pt idx="4">
                    <c:v>3.0000000000000003E-4</c:v>
                  </c:pt>
                </c:numCache>
              </c:numRef>
            </c:plus>
            <c:min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1.5E-3</c:v>
                  </c:pt>
                  <c:pt idx="3">
                    <c:v>2.9999999999999997E-4</c:v>
                  </c:pt>
                  <c:pt idx="4">
                    <c:v>3.0000000000000003E-4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-2499.5</c:v>
                </c:pt>
                <c:pt idx="1">
                  <c:v>0</c:v>
                </c:pt>
                <c:pt idx="2">
                  <c:v>3217</c:v>
                </c:pt>
                <c:pt idx="3">
                  <c:v>4947.5</c:v>
                </c:pt>
                <c:pt idx="4">
                  <c:v>6250</c:v>
                </c:pt>
              </c:numCache>
            </c:numRef>
          </c:xVal>
          <c:yVal>
            <c:numRef>
              <c:f>'Active 2'!$L$21:$L$999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91A-4A9C-A701-E7DBD105CF9D}"/>
            </c:ext>
          </c:extLst>
        </c:ser>
        <c:ser>
          <c:idx val="5"/>
          <c:order val="5"/>
          <c:tx>
            <c:strRef>
              <c:f>'Active 2'!$M$20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1.5E-3</c:v>
                  </c:pt>
                  <c:pt idx="3">
                    <c:v>2.9999999999999997E-4</c:v>
                  </c:pt>
                  <c:pt idx="4">
                    <c:v>3.0000000000000003E-4</c:v>
                  </c:pt>
                </c:numCache>
              </c:numRef>
            </c:plus>
            <c:min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1.5E-3</c:v>
                  </c:pt>
                  <c:pt idx="3">
                    <c:v>2.9999999999999997E-4</c:v>
                  </c:pt>
                  <c:pt idx="4">
                    <c:v>3.0000000000000003E-4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-2499.5</c:v>
                </c:pt>
                <c:pt idx="1">
                  <c:v>0</c:v>
                </c:pt>
                <c:pt idx="2">
                  <c:v>3217</c:v>
                </c:pt>
                <c:pt idx="3">
                  <c:v>4947.5</c:v>
                </c:pt>
                <c:pt idx="4">
                  <c:v>6250</c:v>
                </c:pt>
              </c:numCache>
            </c:numRef>
          </c:xVal>
          <c:yVal>
            <c:numRef>
              <c:f>'Active 2'!$M$21:$M$999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91A-4A9C-A701-E7DBD105CF9D}"/>
            </c:ext>
          </c:extLst>
        </c:ser>
        <c:ser>
          <c:idx val="6"/>
          <c:order val="6"/>
          <c:tx>
            <c:strRef>
              <c:f>'Active 2'!$N$20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1.5E-3</c:v>
                  </c:pt>
                  <c:pt idx="3">
                    <c:v>2.9999999999999997E-4</c:v>
                  </c:pt>
                  <c:pt idx="4">
                    <c:v>3.0000000000000003E-4</c:v>
                  </c:pt>
                </c:numCache>
              </c:numRef>
            </c:plus>
            <c:min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1.5E-3</c:v>
                  </c:pt>
                  <c:pt idx="3">
                    <c:v>2.9999999999999997E-4</c:v>
                  </c:pt>
                  <c:pt idx="4">
                    <c:v>3.0000000000000003E-4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-2499.5</c:v>
                </c:pt>
                <c:pt idx="1">
                  <c:v>0</c:v>
                </c:pt>
                <c:pt idx="2">
                  <c:v>3217</c:v>
                </c:pt>
                <c:pt idx="3">
                  <c:v>4947.5</c:v>
                </c:pt>
                <c:pt idx="4">
                  <c:v>6250</c:v>
                </c:pt>
              </c:numCache>
            </c:numRef>
          </c:xVal>
          <c:yVal>
            <c:numRef>
              <c:f>'Active 2'!$N$21:$N$999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91A-4A9C-A701-E7DBD105CF9D}"/>
            </c:ext>
          </c:extLst>
        </c:ser>
        <c:ser>
          <c:idx val="7"/>
          <c:order val="7"/>
          <c:tx>
            <c:strRef>
              <c:f>'Active 2'!$O$20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2'!$F$21:$F$999</c:f>
              <c:numCache>
                <c:formatCode>General</c:formatCode>
                <c:ptCount val="979"/>
                <c:pt idx="0">
                  <c:v>-2499.5</c:v>
                </c:pt>
                <c:pt idx="1">
                  <c:v>0</c:v>
                </c:pt>
                <c:pt idx="2">
                  <c:v>3217</c:v>
                </c:pt>
                <c:pt idx="3">
                  <c:v>4947.5</c:v>
                </c:pt>
                <c:pt idx="4">
                  <c:v>6250</c:v>
                </c:pt>
              </c:numCache>
            </c:numRef>
          </c:xVal>
          <c:yVal>
            <c:numRef>
              <c:f>'Active 2'!$O$21:$O$999</c:f>
              <c:numCache>
                <c:formatCode>General</c:formatCode>
                <c:ptCount val="979"/>
                <c:pt idx="0">
                  <c:v>-3.3243548686931728E-4</c:v>
                </c:pt>
                <c:pt idx="1">
                  <c:v>5.5957014464611161E-4</c:v>
                </c:pt>
                <c:pt idx="2">
                  <c:v>1.7076326037719907E-3</c:v>
                </c:pt>
                <c:pt idx="3">
                  <c:v>2.3252024158693903E-3</c:v>
                </c:pt>
                <c:pt idx="4">
                  <c:v>2.7900303154688483E-3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91A-4A9C-A701-E7DBD105CF9D}"/>
            </c:ext>
          </c:extLst>
        </c:ser>
        <c:ser>
          <c:idx val="8"/>
          <c:order val="8"/>
          <c:tx>
            <c:strRef>
              <c:f>'Active 2'!$R$20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2'!$F$21:$F$999</c:f>
              <c:numCache>
                <c:formatCode>General</c:formatCode>
                <c:ptCount val="979"/>
                <c:pt idx="0">
                  <c:v>-2499.5</c:v>
                </c:pt>
                <c:pt idx="1">
                  <c:v>0</c:v>
                </c:pt>
                <c:pt idx="2">
                  <c:v>3217</c:v>
                </c:pt>
                <c:pt idx="3">
                  <c:v>4947.5</c:v>
                </c:pt>
                <c:pt idx="4">
                  <c:v>6250</c:v>
                </c:pt>
              </c:numCache>
            </c:numRef>
          </c:xVal>
          <c:yVal>
            <c:numRef>
              <c:f>'Active 2'!$R$21:$R$999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691A-4A9C-A701-E7DBD105CF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7197976"/>
        <c:axId val="1"/>
      </c:scatterChart>
      <c:valAx>
        <c:axId val="56719797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383458646616544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6719797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774436090225564"/>
          <c:y val="0.92397937099967764"/>
          <c:w val="0.8030075187969925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66675</xdr:colOff>
      <xdr:row>0</xdr:row>
      <xdr:rowOff>0</xdr:rowOff>
    </xdr:from>
    <xdr:to>
      <xdr:col>19</xdr:col>
      <xdr:colOff>9525</xdr:colOff>
      <xdr:row>18</xdr:row>
      <xdr:rowOff>114300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A012C05D-93C6-955F-2D84-E95F19CA60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161925</xdr:colOff>
      <xdr:row>0</xdr:row>
      <xdr:rowOff>47625</xdr:rowOff>
    </xdr:from>
    <xdr:to>
      <xdr:col>19</xdr:col>
      <xdr:colOff>85725</xdr:colOff>
      <xdr:row>18</xdr:row>
      <xdr:rowOff>104775</xdr:rowOff>
    </xdr:to>
    <xdr:graphicFrame macro="">
      <xdr:nvGraphicFramePr>
        <xdr:cNvPr id="50179" name="Chart 1">
          <a:extLst>
            <a:ext uri="{FF2B5EF4-FFF2-40B4-BE49-F238E27FC236}">
              <a16:creationId xmlns:a16="http://schemas.microsoft.com/office/drawing/2014/main" id="{BEAC7332-3A4D-FAB3-98E5-AE203B39BF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5" sqref="F5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2" customWidth="1"/>
    <col min="6" max="6" width="16.71093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52</v>
      </c>
    </row>
    <row r="2" spans="1:7" x14ac:dyDescent="0.2">
      <c r="A2" t="s">
        <v>23</v>
      </c>
      <c r="B2" t="s">
        <v>38</v>
      </c>
      <c r="C2" s="3"/>
      <c r="D2" s="3" t="s">
        <v>51</v>
      </c>
      <c r="E2" s="28" t="s">
        <v>37</v>
      </c>
      <c r="F2" t="s">
        <v>37</v>
      </c>
    </row>
    <row r="3" spans="1:7" ht="13.5" thickBot="1" x14ac:dyDescent="0.25"/>
    <row r="4" spans="1:7" ht="14.25" thickTop="1" thickBot="1" x14ac:dyDescent="0.25">
      <c r="A4" s="5" t="s">
        <v>0</v>
      </c>
      <c r="C4" s="25" t="s">
        <v>36</v>
      </c>
      <c r="D4" s="26" t="s">
        <v>36</v>
      </c>
      <c r="E4" s="47" t="s">
        <v>53</v>
      </c>
    </row>
    <row r="6" spans="1:7" x14ac:dyDescent="0.2">
      <c r="A6" s="5" t="s">
        <v>1</v>
      </c>
    </row>
    <row r="7" spans="1:7" x14ac:dyDescent="0.2">
      <c r="A7" t="s">
        <v>2</v>
      </c>
      <c r="C7" s="35">
        <v>54707.828000000001</v>
      </c>
      <c r="D7" s="27" t="s">
        <v>39</v>
      </c>
    </row>
    <row r="8" spans="1:7" x14ac:dyDescent="0.2">
      <c r="A8" t="s">
        <v>3</v>
      </c>
      <c r="C8" s="35">
        <v>0.35864400000000002</v>
      </c>
      <c r="D8" s="27" t="s">
        <v>39</v>
      </c>
    </row>
    <row r="9" spans="1:7" x14ac:dyDescent="0.2">
      <c r="A9" s="9" t="s">
        <v>28</v>
      </c>
      <c r="B9" s="10"/>
      <c r="C9" s="11">
        <v>-9.5</v>
      </c>
      <c r="D9" s="10" t="s">
        <v>29</v>
      </c>
      <c r="E9" s="10"/>
    </row>
    <row r="10" spans="1:7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7" x14ac:dyDescent="0.2">
      <c r="A11" s="10" t="s">
        <v>15</v>
      </c>
      <c r="B11" s="10"/>
      <c r="C11" s="19">
        <f ca="1">INTERCEPT(INDIRECT($G$11):G992,INDIRECT($F$11):F992)</f>
        <v>-2.1347345348549882E-4</v>
      </c>
      <c r="D11" s="3"/>
      <c r="E11" s="10"/>
      <c r="F11" s="20" t="str">
        <f>"F"&amp;E19</f>
        <v>F21</v>
      </c>
      <c r="G11" s="21" t="str">
        <f>"G"&amp;E19</f>
        <v>G21</v>
      </c>
    </row>
    <row r="12" spans="1:7" x14ac:dyDescent="0.2">
      <c r="A12" s="10" t="s">
        <v>16</v>
      </c>
      <c r="B12" s="10"/>
      <c r="C12" s="19">
        <f ca="1">SLOPE(INDIRECT($G$11):G992,INDIRECT($F$11):F992)</f>
        <v>3.7092460220571012E-8</v>
      </c>
      <c r="D12" s="3"/>
      <c r="E12" s="36" t="s">
        <v>55</v>
      </c>
      <c r="F12" s="45" t="s">
        <v>59</v>
      </c>
    </row>
    <row r="13" spans="1:7" x14ac:dyDescent="0.2">
      <c r="A13" s="10" t="s">
        <v>18</v>
      </c>
      <c r="B13" s="10"/>
      <c r="C13" s="3" t="s">
        <v>13</v>
      </c>
      <c r="D13" s="14"/>
      <c r="E13" s="38" t="s">
        <v>33</v>
      </c>
      <c r="F13" s="39">
        <v>1</v>
      </c>
    </row>
    <row r="14" spans="1:7" x14ac:dyDescent="0.2">
      <c r="A14" s="10"/>
      <c r="B14" s="10"/>
      <c r="C14" s="10"/>
      <c r="D14" s="14"/>
      <c r="E14" s="38" t="s">
        <v>30</v>
      </c>
      <c r="F14" s="40">
        <f ca="1">NOW()+15018.5+$C$9/24</f>
        <v>60507.746113657406</v>
      </c>
    </row>
    <row r="15" spans="1:7" x14ac:dyDescent="0.2">
      <c r="A15" s="12" t="s">
        <v>17</v>
      </c>
      <c r="B15" s="10"/>
      <c r="C15" s="13">
        <f ca="1">(C7+C11)+(C8+C12)*INT(MAX(F21:F3533))</f>
        <v>56205.883929461757</v>
      </c>
      <c r="D15" s="14"/>
      <c r="E15" s="38" t="s">
        <v>34</v>
      </c>
      <c r="F15" s="40">
        <f ca="1">ROUND(2*($F$14-$C$7)/$C$8,0)/2+$F$13</f>
        <v>16173</v>
      </c>
    </row>
    <row r="16" spans="1:7" x14ac:dyDescent="0.2">
      <c r="A16" s="15" t="s">
        <v>4</v>
      </c>
      <c r="B16" s="10"/>
      <c r="C16" s="16">
        <f ca="1">+C8+C12</f>
        <v>0.35864403709246023</v>
      </c>
      <c r="D16" s="14"/>
      <c r="E16" s="38" t="s">
        <v>35</v>
      </c>
      <c r="F16" s="40">
        <f ca="1">ROUND(2*($F$14-$C$15)/$C$16,0)/2+$F$13</f>
        <v>11996</v>
      </c>
    </row>
    <row r="17" spans="1:19" ht="13.5" thickBot="1" x14ac:dyDescent="0.25">
      <c r="A17" s="14" t="s">
        <v>27</v>
      </c>
      <c r="B17" s="10"/>
      <c r="C17" s="10">
        <f>COUNT(C21:C2191)</f>
        <v>5</v>
      </c>
      <c r="D17" s="14"/>
      <c r="E17" s="41" t="s">
        <v>56</v>
      </c>
      <c r="F17" s="42">
        <f ca="1">+$C$15+$C$16*$F$16-15018.5-$C$9/24</f>
        <v>45490.073631756248</v>
      </c>
    </row>
    <row r="18" spans="1:19" ht="14.25" thickTop="1" thickBot="1" x14ac:dyDescent="0.25">
      <c r="A18" s="15" t="s">
        <v>5</v>
      </c>
      <c r="B18" s="10"/>
      <c r="C18" s="17">
        <f ca="1">+C15</f>
        <v>56205.883929461757</v>
      </c>
      <c r="D18" s="18">
        <f ca="1">+C16</f>
        <v>0.35864403709246023</v>
      </c>
      <c r="E18" s="44" t="s">
        <v>57</v>
      </c>
      <c r="F18" s="43">
        <f ca="1">+($C$15+$C$16*$F$16)-($C$16/2)-15018.5-$C$9/24</f>
        <v>45489.894309737705</v>
      </c>
    </row>
    <row r="19" spans="1:19" ht="13.5" thickTop="1" x14ac:dyDescent="0.2">
      <c r="A19" s="22" t="s">
        <v>31</v>
      </c>
      <c r="E19" s="23">
        <v>21</v>
      </c>
      <c r="S19">
        <f ca="1">SQRT(SUM(S21:S25)/(COUNT(S21:S25)-1))</f>
        <v>4.4703397334157078E-3</v>
      </c>
    </row>
    <row r="20" spans="1:19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39</v>
      </c>
      <c r="I20" s="7" t="s">
        <v>47</v>
      </c>
      <c r="J20" s="7" t="s">
        <v>58</v>
      </c>
      <c r="K20" s="7" t="s">
        <v>54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R20" s="24" t="s">
        <v>32</v>
      </c>
    </row>
    <row r="21" spans="1:19" x14ac:dyDescent="0.2">
      <c r="A21" s="29" t="s">
        <v>40</v>
      </c>
      <c r="B21" s="30" t="s">
        <v>41</v>
      </c>
      <c r="C21" s="31">
        <v>54108.714999999997</v>
      </c>
      <c r="D21" s="29" t="s">
        <v>42</v>
      </c>
      <c r="E21">
        <f>+(C21-C$7)/C$8</f>
        <v>-1670.4949755189123</v>
      </c>
      <c r="F21">
        <f>ROUND(2*E21,0)/2</f>
        <v>-1670.5</v>
      </c>
      <c r="G21">
        <f>+C21-(C$7+F21*C$8)</f>
        <v>1.8019999988609925E-3</v>
      </c>
      <c r="I21">
        <f>+G21</f>
        <v>1.8019999988609925E-3</v>
      </c>
      <c r="O21">
        <f ca="1">+C$11+C$12*$F21</f>
        <v>-2.7543640828396268E-4</v>
      </c>
      <c r="Q21" s="2">
        <f>+C21-15018.5</f>
        <v>39090.214999999997</v>
      </c>
      <c r="S21">
        <f ca="1">+(O21-G21)^2</f>
        <v>4.3157420257313396E-6</v>
      </c>
    </row>
    <row r="22" spans="1:19" x14ac:dyDescent="0.2">
      <c r="A22" t="s">
        <v>39</v>
      </c>
      <c r="C22" s="8">
        <v>54707.828000000001</v>
      </c>
      <c r="D22" s="8" t="s">
        <v>13</v>
      </c>
      <c r="E22">
        <f>+(C22-C$7)/C$8</f>
        <v>0</v>
      </c>
      <c r="F22">
        <f>ROUND(2*E22,0)/2</f>
        <v>0</v>
      </c>
      <c r="G22">
        <f>+C22-(C$7+F22*C$8)</f>
        <v>0</v>
      </c>
      <c r="H22">
        <f>+G22</f>
        <v>0</v>
      </c>
      <c r="O22">
        <f ca="1">+C$11+C$12*$F22</f>
        <v>-2.1347345348549882E-4</v>
      </c>
      <c r="Q22" s="2">
        <f>+C22-15018.5</f>
        <v>39689.328000000001</v>
      </c>
      <c r="S22">
        <f ca="1">+(O22-G22)^2</f>
        <v>4.5570915343025428E-8</v>
      </c>
    </row>
    <row r="23" spans="1:19" x14ac:dyDescent="0.2">
      <c r="A23" s="32" t="s">
        <v>43</v>
      </c>
      <c r="B23" s="33" t="s">
        <v>44</v>
      </c>
      <c r="C23" s="32">
        <v>55478.904699999999</v>
      </c>
      <c r="D23" s="32">
        <v>1.5E-3</v>
      </c>
      <c r="E23">
        <f>+(C23-C$7)/C$8</f>
        <v>2149.977972585622</v>
      </c>
      <c r="F23">
        <f>ROUND(2*E23,0)/2</f>
        <v>2150</v>
      </c>
      <c r="G23">
        <f>+C23-(C$7+F23*C$8)</f>
        <v>-7.900000004156027E-3</v>
      </c>
      <c r="J23">
        <f>+G23</f>
        <v>-7.900000004156027E-3</v>
      </c>
      <c r="O23">
        <f ca="1">+C$11+C$12*$F23</f>
        <v>-1.3372466401127115E-4</v>
      </c>
      <c r="Q23" s="2">
        <f>+C23-15018.5</f>
        <v>40460.404699999999</v>
      </c>
      <c r="S23">
        <f ca="1">+(O23-G23)^2</f>
        <v>6.0315032658940542E-5</v>
      </c>
    </row>
    <row r="24" spans="1:19" x14ac:dyDescent="0.2">
      <c r="A24" s="32" t="s">
        <v>45</v>
      </c>
      <c r="B24" s="33" t="s">
        <v>44</v>
      </c>
      <c r="C24" s="32">
        <v>55893.687400000003</v>
      </c>
      <c r="D24" s="32">
        <v>2.9999999999999997E-4</v>
      </c>
      <c r="E24">
        <f>+(C24-C$7)/C$8</f>
        <v>3306.5084038768282</v>
      </c>
      <c r="F24">
        <f>ROUND(2*E24,0)/2</f>
        <v>3306.5</v>
      </c>
      <c r="G24">
        <f>+C24-(C$7+F24*C$8)</f>
        <v>3.0140000017127022E-3</v>
      </c>
      <c r="J24">
        <f>+G24</f>
        <v>3.0140000017127022E-3</v>
      </c>
      <c r="O24">
        <f ca="1">+C$11+C$12*$F24</f>
        <v>-9.0827233766180759E-5</v>
      </c>
      <c r="Q24" s="2">
        <f>+C24-15018.5</f>
        <v>40875.187400000003</v>
      </c>
      <c r="S24">
        <f ca="1">+(O24-G24)^2</f>
        <v>9.6399521621714436E-6</v>
      </c>
    </row>
    <row r="25" spans="1:19" x14ac:dyDescent="0.2">
      <c r="A25" s="29" t="s">
        <v>46</v>
      </c>
      <c r="B25" s="30" t="s">
        <v>41</v>
      </c>
      <c r="C25" s="31">
        <v>56205.886299999998</v>
      </c>
      <c r="D25" s="31">
        <v>3.0000000000000003E-4</v>
      </c>
      <c r="E25">
        <f>+(C25-C$7)/C$8</f>
        <v>4177.0064465040459</v>
      </c>
      <c r="F25">
        <f>ROUND(2*E25,0)/2</f>
        <v>4177</v>
      </c>
      <c r="G25">
        <f>+C25-(C$7+F25*C$8)</f>
        <v>2.3119999968912452E-3</v>
      </c>
      <c r="J25">
        <f>+G25</f>
        <v>2.3119999968912452E-3</v>
      </c>
      <c r="O25">
        <f ca="1">+C$11+C$12*$F25</f>
        <v>-5.8538247144173712E-5</v>
      </c>
      <c r="Q25" s="2">
        <f>+C25-15018.5</f>
        <v>41187.386299999998</v>
      </c>
      <c r="S25">
        <f ca="1">+(O25-G25)^2</f>
        <v>5.6194515664345262E-6</v>
      </c>
    </row>
    <row r="26" spans="1:19" x14ac:dyDescent="0.2">
      <c r="C26" s="8"/>
      <c r="D26" s="8"/>
      <c r="Q26" s="2"/>
    </row>
    <row r="27" spans="1:19" x14ac:dyDescent="0.2">
      <c r="C27" s="8"/>
      <c r="D27" s="8"/>
      <c r="Q27" s="2"/>
    </row>
    <row r="28" spans="1:19" x14ac:dyDescent="0.2">
      <c r="C28" s="8"/>
      <c r="D28" s="8"/>
      <c r="Q28" s="2"/>
    </row>
    <row r="29" spans="1:19" x14ac:dyDescent="0.2">
      <c r="C29" s="8"/>
      <c r="D29" s="8"/>
      <c r="Q29" s="2"/>
    </row>
    <row r="30" spans="1:19" x14ac:dyDescent="0.2">
      <c r="C30" s="8"/>
      <c r="D30" s="8"/>
      <c r="Q30" s="2"/>
    </row>
    <row r="31" spans="1:19" x14ac:dyDescent="0.2">
      <c r="C31" s="8"/>
      <c r="D31" s="8"/>
      <c r="Q31" s="2"/>
    </row>
    <row r="32" spans="1:19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2"/>
  </sheetPr>
  <dimension ref="A1:S6940"/>
  <sheetViews>
    <sheetView workbookViewId="0">
      <pane xSplit="14" ySplit="21" topLeftCell="O22" activePane="bottomRight" state="frozen"/>
      <selection pane="topRight" activeCell="O1" sqref="O1"/>
      <selection pane="bottomLeft" activeCell="A22" sqref="A22"/>
      <selection pane="bottomRight" activeCell="F5" sqref="F5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2.42578125" customWidth="1"/>
    <col min="6" max="6" width="16.28515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52</v>
      </c>
    </row>
    <row r="2" spans="1:7" x14ac:dyDescent="0.2">
      <c r="A2" t="s">
        <v>23</v>
      </c>
      <c r="B2" t="s">
        <v>38</v>
      </c>
      <c r="C2" s="3"/>
      <c r="D2" s="3"/>
      <c r="E2" s="28" t="s">
        <v>37</v>
      </c>
      <c r="F2" t="s">
        <v>37</v>
      </c>
    </row>
    <row r="3" spans="1:7" ht="13.5" thickBot="1" x14ac:dyDescent="0.25"/>
    <row r="4" spans="1:7" ht="14.25" thickTop="1" thickBot="1" x14ac:dyDescent="0.25">
      <c r="A4" s="5" t="s">
        <v>0</v>
      </c>
      <c r="C4" s="25" t="s">
        <v>36</v>
      </c>
      <c r="D4" s="26" t="s">
        <v>36</v>
      </c>
      <c r="E4" s="47" t="s">
        <v>53</v>
      </c>
    </row>
    <row r="5" spans="1:7" ht="13.5" thickTop="1" x14ac:dyDescent="0.2"/>
    <row r="6" spans="1:7" x14ac:dyDescent="0.2">
      <c r="A6" s="5" t="s">
        <v>1</v>
      </c>
      <c r="C6" s="34" t="s">
        <v>49</v>
      </c>
    </row>
    <row r="7" spans="1:7" x14ac:dyDescent="0.2">
      <c r="A7" t="s">
        <v>2</v>
      </c>
      <c r="C7" s="8">
        <v>54707.82</v>
      </c>
      <c r="D7" s="27" t="s">
        <v>48</v>
      </c>
    </row>
    <row r="8" spans="1:7" x14ac:dyDescent="0.2">
      <c r="A8" t="s">
        <v>3</v>
      </c>
      <c r="C8" s="8">
        <v>0.23968999999999999</v>
      </c>
      <c r="D8" s="27" t="s">
        <v>50</v>
      </c>
    </row>
    <row r="9" spans="1:7" x14ac:dyDescent="0.2">
      <c r="A9" s="9" t="s">
        <v>28</v>
      </c>
      <c r="B9" s="10"/>
      <c r="C9" s="11">
        <v>-9.5</v>
      </c>
      <c r="D9" s="10" t="s">
        <v>29</v>
      </c>
      <c r="E9" s="10"/>
    </row>
    <row r="10" spans="1:7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7" x14ac:dyDescent="0.2">
      <c r="A11" s="10" t="s">
        <v>15</v>
      </c>
      <c r="B11" s="10"/>
      <c r="C11" s="19">
        <f ca="1">INTERCEPT(INDIRECT($G$11):G992,INDIRECT($F$11):F992)</f>
        <v>5.5957014464611161E-4</v>
      </c>
      <c r="D11" s="3"/>
      <c r="E11" s="10"/>
      <c r="F11" s="20" t="str">
        <f>"F"&amp;E19</f>
        <v>F21</v>
      </c>
      <c r="G11" s="21" t="str">
        <f>"G"&amp;E19</f>
        <v>G21</v>
      </c>
    </row>
    <row r="12" spans="1:7" x14ac:dyDescent="0.2">
      <c r="A12" s="10" t="s">
        <v>16</v>
      </c>
      <c r="B12" s="10"/>
      <c r="C12" s="19">
        <f ca="1">SLOPE(INDIRECT($G$11):G992,INDIRECT($F$11):F992)</f>
        <v>3.5687362733163788E-7</v>
      </c>
      <c r="D12" s="3"/>
      <c r="E12" s="46" t="s">
        <v>55</v>
      </c>
      <c r="F12" s="37" t="s">
        <v>59</v>
      </c>
    </row>
    <row r="13" spans="1:7" x14ac:dyDescent="0.2">
      <c r="A13" s="10" t="s">
        <v>18</v>
      </c>
      <c r="B13" s="10"/>
      <c r="C13" s="3" t="s">
        <v>13</v>
      </c>
      <c r="D13" s="14"/>
      <c r="E13" s="38" t="s">
        <v>33</v>
      </c>
      <c r="F13" s="39">
        <v>1</v>
      </c>
    </row>
    <row r="14" spans="1:7" x14ac:dyDescent="0.2">
      <c r="A14" s="10"/>
      <c r="B14" s="10"/>
      <c r="C14" s="10"/>
      <c r="D14" s="14"/>
      <c r="E14" s="38" t="s">
        <v>30</v>
      </c>
      <c r="F14" s="40">
        <f ca="1">NOW()+15018.5+$C$9/24</f>
        <v>60507.746113657406</v>
      </c>
    </row>
    <row r="15" spans="1:7" x14ac:dyDescent="0.2">
      <c r="A15" s="12" t="s">
        <v>17</v>
      </c>
      <c r="B15" s="10"/>
      <c r="C15" s="13">
        <f ca="1">(C7+C11)+(C8+C12)*INT(MAX(F21:F3533))</f>
        <v>56205.885290030317</v>
      </c>
      <c r="D15" s="14"/>
      <c r="E15" s="38" t="s">
        <v>34</v>
      </c>
      <c r="F15" s="40">
        <f ca="1">ROUND(2*($F$14-$C$7)/$C$8,0)/2+$F$13</f>
        <v>24198.5</v>
      </c>
    </row>
    <row r="16" spans="1:7" x14ac:dyDescent="0.2">
      <c r="A16" s="15" t="s">
        <v>4</v>
      </c>
      <c r="B16" s="10"/>
      <c r="C16" s="16">
        <f ca="1">+C8+C12</f>
        <v>0.23969035687362733</v>
      </c>
      <c r="D16" s="14"/>
      <c r="E16" s="38" t="s">
        <v>35</v>
      </c>
      <c r="F16" s="40">
        <f ca="1">ROUND(2*($F$14-$C$15)/$C$16,0)/2+$F$13</f>
        <v>17948.5</v>
      </c>
    </row>
    <row r="17" spans="1:19" ht="13.5" thickBot="1" x14ac:dyDescent="0.25">
      <c r="A17" s="14" t="s">
        <v>27</v>
      </c>
      <c r="B17" s="10"/>
      <c r="C17" s="10">
        <f>COUNT(C21:C2191)</f>
        <v>5</v>
      </c>
      <c r="D17" s="14"/>
      <c r="E17" s="41" t="s">
        <v>56</v>
      </c>
      <c r="F17" s="42">
        <f ca="1">+$C$15+$C$16*$F$16-15018.5-$C$9/24</f>
        <v>45489.863493709956</v>
      </c>
    </row>
    <row r="18" spans="1:19" ht="14.25" thickTop="1" thickBot="1" x14ac:dyDescent="0.25">
      <c r="A18" s="15" t="s">
        <v>5</v>
      </c>
      <c r="B18" s="10"/>
      <c r="C18" s="17">
        <f ca="1">+C15</f>
        <v>56205.885290030317</v>
      </c>
      <c r="D18" s="18">
        <f ca="1">+C16</f>
        <v>0.23969035687362733</v>
      </c>
      <c r="E18" s="44" t="s">
        <v>57</v>
      </c>
      <c r="F18" s="43">
        <f ca="1">+($C$15+$C$16*$F$16)-($C$16/2)-15018.5-$C$9/24</f>
        <v>45489.743648531519</v>
      </c>
    </row>
    <row r="19" spans="1:19" ht="13.5" thickTop="1" x14ac:dyDescent="0.2">
      <c r="A19" s="22" t="s">
        <v>31</v>
      </c>
      <c r="E19" s="23">
        <v>21</v>
      </c>
      <c r="S19">
        <f ca="1">SQRT(SUM(S21:S25)/(COUNT(S21:S25)-1))</f>
        <v>8.7750688576095407E-4</v>
      </c>
    </row>
    <row r="20" spans="1:19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48</v>
      </c>
      <c r="I20" s="7" t="s">
        <v>47</v>
      </c>
      <c r="J20" s="7" t="s">
        <v>58</v>
      </c>
      <c r="K20" s="7" t="s">
        <v>54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R20" s="24" t="s">
        <v>32</v>
      </c>
    </row>
    <row r="21" spans="1:19" x14ac:dyDescent="0.2">
      <c r="A21" s="29" t="s">
        <v>40</v>
      </c>
      <c r="B21" s="30" t="s">
        <v>41</v>
      </c>
      <c r="C21" s="31">
        <v>54108.714999999997</v>
      </c>
      <c r="D21" s="29" t="s">
        <v>42</v>
      </c>
      <c r="E21">
        <f>+(C21-C$7)/C$8</f>
        <v>-2499.4993533314</v>
      </c>
      <c r="F21">
        <f>ROUND(2*E21,0)/2</f>
        <v>-2499.5</v>
      </c>
      <c r="G21">
        <f>+C21-(C$7+F21*C$8)</f>
        <v>1.5499999426538125E-4</v>
      </c>
      <c r="I21">
        <f>+G21</f>
        <v>1.5499999426538125E-4</v>
      </c>
      <c r="O21">
        <f ca="1">+C$11+C$12*$F21</f>
        <v>-3.3243548686931728E-4</v>
      </c>
      <c r="Q21" s="2">
        <f>+C21-15018.5</f>
        <v>39090.214999999997</v>
      </c>
      <c r="S21">
        <f ca="1">+(O21-G21)^2</f>
        <v>2.3759334826901504E-7</v>
      </c>
    </row>
    <row r="22" spans="1:19" x14ac:dyDescent="0.2">
      <c r="A22" t="str">
        <f>D8</f>
        <v>ToMcat 2014-01-24</v>
      </c>
      <c r="C22" s="8">
        <f>C$7</f>
        <v>54707.82</v>
      </c>
      <c r="D22" s="8" t="s">
        <v>13</v>
      </c>
      <c r="E22">
        <f>+(C22-C$7)/C$8</f>
        <v>0</v>
      </c>
      <c r="F22">
        <f>ROUND(2*E22,0)/2</f>
        <v>0</v>
      </c>
      <c r="G22">
        <f>+C22-(C$7+F22*C$8)</f>
        <v>0</v>
      </c>
      <c r="H22">
        <f>+G22</f>
        <v>0</v>
      </c>
      <c r="O22">
        <f ca="1">+C$11+C$12*$F22</f>
        <v>5.5957014464611161E-4</v>
      </c>
      <c r="Q22" s="2">
        <f>+C22-15018.5</f>
        <v>39689.32</v>
      </c>
      <c r="S22">
        <f ca="1">+(O22-G22)^2</f>
        <v>3.1311874677927025E-7</v>
      </c>
    </row>
    <row r="23" spans="1:19" x14ac:dyDescent="0.2">
      <c r="A23" s="32" t="s">
        <v>43</v>
      </c>
      <c r="B23" s="33" t="s">
        <v>44</v>
      </c>
      <c r="C23" s="32">
        <v>55478.904699999999</v>
      </c>
      <c r="D23" s="32">
        <v>1.5E-3</v>
      </c>
      <c r="E23">
        <f>+(C23-C$7)/C$8</f>
        <v>3217.0082189494742</v>
      </c>
      <c r="F23">
        <f>ROUND(2*E23,0)/2</f>
        <v>3217</v>
      </c>
      <c r="G23">
        <f>+C23-(C$7+F23*C$8)</f>
        <v>1.9699999975273386E-3</v>
      </c>
      <c r="J23">
        <f>+G23</f>
        <v>1.9699999975273386E-3</v>
      </c>
      <c r="O23">
        <f ca="1">+C$11+C$12*$F23</f>
        <v>1.7076326037719907E-3</v>
      </c>
      <c r="Q23" s="2">
        <f>+C23-15018.5</f>
        <v>40460.404699999999</v>
      </c>
      <c r="S23">
        <f ca="1">+(O23-G23)^2</f>
        <v>6.8836649305973758E-8</v>
      </c>
    </row>
    <row r="24" spans="1:19" x14ac:dyDescent="0.2">
      <c r="A24" s="32" t="s">
        <v>45</v>
      </c>
      <c r="B24" s="33" t="s">
        <v>44</v>
      </c>
      <c r="C24" s="32">
        <v>55893.687400000003</v>
      </c>
      <c r="D24" s="32">
        <v>2.9999999999999997E-4</v>
      </c>
      <c r="E24">
        <f>+(C24-C$7)/C$8</f>
        <v>4947.5046935625305</v>
      </c>
      <c r="F24">
        <f>ROUND(2*E24,0)/2</f>
        <v>4947.5</v>
      </c>
      <c r="G24">
        <f>+C24-(C$7+F24*C$8)</f>
        <v>1.1250000025029294E-3</v>
      </c>
      <c r="J24">
        <f>+G24</f>
        <v>1.1250000025029294E-3</v>
      </c>
      <c r="O24">
        <f ca="1">+C$11+C$12*$F24</f>
        <v>2.3252024158693903E-3</v>
      </c>
      <c r="Q24" s="2">
        <f>+C24-15018.5</f>
        <v>40875.187400000003</v>
      </c>
      <c r="S24">
        <f ca="1">+(O24-G24)^2</f>
        <v>1.4404858330506771E-6</v>
      </c>
    </row>
    <row r="25" spans="1:19" x14ac:dyDescent="0.2">
      <c r="A25" s="29" t="s">
        <v>46</v>
      </c>
      <c r="B25" s="30" t="s">
        <v>41</v>
      </c>
      <c r="C25" s="31">
        <v>56205.886299999998</v>
      </c>
      <c r="D25" s="31">
        <v>3.0000000000000003E-4</v>
      </c>
      <c r="E25">
        <f>+(C25-C$7)/C$8</f>
        <v>6250.0158538111673</v>
      </c>
      <c r="F25">
        <f>ROUND(2*E25,0)/2</f>
        <v>6250</v>
      </c>
      <c r="G25">
        <f>+C25-(C$7+F25*C$8)</f>
        <v>3.7999999985913746E-3</v>
      </c>
      <c r="J25">
        <f>+G25</f>
        <v>3.7999999985913746E-3</v>
      </c>
      <c r="O25">
        <f ca="1">+C$11+C$12*$F25</f>
        <v>2.7900303154688483E-3</v>
      </c>
      <c r="Q25" s="2">
        <f>+C25-15018.5</f>
        <v>41187.386299999998</v>
      </c>
      <c r="S25">
        <f ca="1">+(O25-G25)^2</f>
        <v>1.0200387608266162E-6</v>
      </c>
    </row>
    <row r="26" spans="1:19" x14ac:dyDescent="0.2">
      <c r="C26" s="8"/>
      <c r="D26" s="8"/>
      <c r="Q26" s="2"/>
    </row>
    <row r="27" spans="1:19" x14ac:dyDescent="0.2">
      <c r="C27" s="8"/>
      <c r="D27" s="8"/>
      <c r="Q27" s="2"/>
    </row>
    <row r="28" spans="1:19" x14ac:dyDescent="0.2">
      <c r="C28" s="8"/>
      <c r="D28" s="8"/>
      <c r="Q28" s="2"/>
    </row>
    <row r="29" spans="1:19" x14ac:dyDescent="0.2">
      <c r="C29" s="8"/>
      <c r="D29" s="8"/>
      <c r="Q29" s="2"/>
    </row>
    <row r="30" spans="1:19" x14ac:dyDescent="0.2">
      <c r="C30" s="8"/>
      <c r="D30" s="8"/>
      <c r="Q30" s="2"/>
    </row>
    <row r="31" spans="1:19" x14ac:dyDescent="0.2">
      <c r="C31" s="8"/>
      <c r="D31" s="8"/>
      <c r="Q31" s="2"/>
    </row>
    <row r="32" spans="1:19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7" type="noConversion"/>
  <pageMargins left="0.75" right="0.75" top="1" bottom="1" header="0.5" footer="0.5"/>
  <pageSetup paperSize="9" orientation="portrait" horizontalDpi="0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 1</vt:lpstr>
      <vt:lpstr>Active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2024-07-16T05:54:24Z</dcterms:modified>
</cp:coreProperties>
</file>