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914B388-5D6F-402B-A520-C07D39D9A5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3" i="1"/>
  <c r="F23" i="1"/>
  <c r="G23" i="1" s="1"/>
  <c r="I23" i="1" s="1"/>
  <c r="Q23" i="1"/>
  <c r="E22" i="1"/>
  <c r="F22" i="1"/>
  <c r="G22" i="1" s="1"/>
  <c r="I22" i="1" s="1"/>
  <c r="Q22" i="1"/>
  <c r="C21" i="1"/>
  <c r="E21" i="1"/>
  <c r="F21" i="1" s="1"/>
  <c r="G21" i="1" s="1"/>
  <c r="H21" i="1" s="1"/>
  <c r="D9" i="1"/>
  <c r="E9" i="1"/>
  <c r="C17" i="1"/>
  <c r="Q21" i="1"/>
  <c r="C12" i="1"/>
  <c r="C11" i="1"/>
  <c r="O23" i="1" l="1"/>
  <c r="C16" i="1"/>
  <c r="D18" i="1" s="1"/>
  <c r="O22" i="1"/>
  <c r="O21" i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<sst xmlns="http://schemas.openxmlformats.org/spreadsheetml/2006/main" count="57" uniqueCount="53">
  <si>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</si>
  <si>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</si>
  <si>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</si>
  <si>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</si>
  <si>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</si>
  <si>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</si>
  <si>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</si>
  <si>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</si>
  <si>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</si>
  <si>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</si>
  <si>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</si>
  <si>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</si>
  <si>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</si>
  <si>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</si>
  <si>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</si>
  <si>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</si>
  <si>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</si>
  <si>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</si>
  <si>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</si>
  <si>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</si>
  <si>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</si>
  <si>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</si>
  <si>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</si>
  <si>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</si>
  <si>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</si>
  <si>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</si>
  <si>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</si>
  <si>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</si>
  <si>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</si>
  <si>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</si>
  <si>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</si>
  <si>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</si>
  <si>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</si>
  <si>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</si>
  <si>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</si>
  <si>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</si>
  <si>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</si>
  <si>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</si>
  <si>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VSX</t>
  </si>
  <si>
    <t>EB</t>
  </si>
  <si>
    <t>Cet</t>
  </si>
  <si>
    <t>OEJV 0155</t>
  </si>
  <si>
    <t>I</t>
  </si>
  <si>
    <t>0,0000</t>
  </si>
  <si>
    <t>JBAV, 63</t>
  </si>
  <si>
    <t>II</t>
  </si>
  <si>
    <t>LM Cet / GSC 6426-0478</t>
  </si>
  <si>
    <t>CCD</t>
  </si>
  <si>
    <t xml:space="preserve">Mag </t>
  </si>
  <si>
    <t>Next ToM-P</t>
  </si>
  <si>
    <t>Next ToM-S</t>
  </si>
  <si>
    <t>10.90-11.59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</si>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</sst>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5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vertical="center" wrapText="1"/>
    </xf>
    <xf numFmtId="0" fontId="19" fillId="0" borderId="0" xfId="0" applyFont="1" applyAlignment="1"/>
    <xf numFmtId="0" fontId="0" fillId="0" borderId="0" xfId="0" applyAlignment="1">
      <alignment horizontal="right"/>
    </xf>
    <xf numFmtId="0" fontId="0" fillId="2" borderId="5" xfId="0" applyFill="1" applyBorder="1" applyAlignment="1">
      <alignment horizontal="right" vertical="center"/>
    </xf>
    <xf numFmtId="0" fontId="20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22" fontId="21" fillId="0" borderId="8" xfId="0" applyNumberFormat="1" applyFont="1" applyBorder="1" applyAlignment="1">
      <alignment horizontal="right" vertical="center"/>
    </xf>
    <xf numFmtId="22" fontId="21" fillId="0" borderId="9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LM Cet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</c:v>
                </c:pt>
                <c:pt idx="2">
                  <c:v>9887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00-4EAA-8008-7CE2FCCB249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</c:v>
                </c:pt>
                <c:pt idx="2">
                  <c:v>9887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-7.843840001442004E-3</c:v>
                </c:pt>
                <c:pt idx="2">
                  <c:v>4.4441919999371748E-2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00-4EAA-8008-7CE2FCCB249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</c:v>
                </c:pt>
                <c:pt idx="2">
                  <c:v>9887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00-4EAA-8008-7CE2FCCB249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</c:v>
                </c:pt>
                <c:pt idx="2">
                  <c:v>9887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00-4EAA-8008-7CE2FCCB249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</c:v>
                </c:pt>
                <c:pt idx="2">
                  <c:v>9887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00-4EAA-8008-7CE2FCCB249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</c:v>
                </c:pt>
                <c:pt idx="2">
                  <c:v>9887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00-4EAA-8008-7CE2FCCB249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</c:v>
                </c:pt>
                <c:pt idx="2">
                  <c:v>9887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00-4EAA-8008-7CE2FCCB249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</c:v>
                </c:pt>
                <c:pt idx="2">
                  <c:v>9887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-8.5700313015348532E-3</c:v>
                </c:pt>
                <c:pt idx="1">
                  <c:v>3.3997772329363123E-3</c:v>
                </c:pt>
                <c:pt idx="2">
                  <c:v>4.176833406652828E-2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00-4EAA-8008-7CE2FCCB249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2351</c:v>
                </c:pt>
                <c:pt idx="2">
                  <c:v>9887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600-4EAA-8008-7CE2FCCB2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270944"/>
        <c:axId val="1"/>
      </c:scatterChart>
      <c:valAx>
        <c:axId val="814270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270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3E0463B-23C6-7945-2801-509692A727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S20" sqref="S2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28515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41" t="s">
        <v>46</v>
      </c>
    </row>
    <row r="2" spans="1:6" x14ac:dyDescent="0.2">
      <c r="A2" t="s">
        <v>23</v>
      </c>
      <c r="B2" t="s">
        <v>39</v>
      </c>
      <c r="C2" s="2"/>
      <c r="D2" s="2" t="s">
        <v>40</v>
      </c>
    </row>
    <row r="3" spans="1:6" ht="13.5" thickBot="1" x14ac:dyDescent="0.25"/>
    <row r="4" spans="1:6" ht="14.25" thickTop="1" thickBot="1" x14ac:dyDescent="0.25">
      <c r="A4" s="4" t="s">
        <v>0</v>
      </c>
      <c r="C4" s="25" t="s">
        <v>37</v>
      </c>
      <c r="D4" s="26" t="s">
        <v>37</v>
      </c>
    </row>
    <row r="5" spans="1:6" ht="13.5" thickTop="1" x14ac:dyDescent="0.2">
      <c r="A5" s="8" t="s">
        <v>30</v>
      </c>
      <c r="B5" s="9"/>
      <c r="C5" s="10">
        <v>-9.5</v>
      </c>
      <c r="D5" s="9" t="s">
        <v>31</v>
      </c>
    </row>
    <row r="6" spans="1:6" x14ac:dyDescent="0.2">
      <c r="A6" s="4" t="s">
        <v>1</v>
      </c>
    </row>
    <row r="7" spans="1:6" x14ac:dyDescent="0.2">
      <c r="A7" t="s">
        <v>2</v>
      </c>
      <c r="C7" s="42">
        <v>53774.550999999999</v>
      </c>
      <c r="D7" s="27" t="s">
        <v>38</v>
      </c>
    </row>
    <row r="8" spans="1:6" x14ac:dyDescent="0.2">
      <c r="A8" t="s">
        <v>3</v>
      </c>
      <c r="C8" s="42">
        <v>0.58621984000000005</v>
      </c>
      <c r="D8" s="27" t="s">
        <v>38</v>
      </c>
    </row>
    <row r="9" spans="1:6" x14ac:dyDescent="0.2">
      <c r="A9" s="22" t="s">
        <v>33</v>
      </c>
      <c r="C9" s="23">
        <v>21</v>
      </c>
      <c r="D9" s="20" t="str">
        <f>"F"&amp;C9</f>
        <v>F21</v>
      </c>
      <c r="E9" s="21" t="str">
        <f>"G"&amp;C9</f>
        <v>G21</v>
      </c>
    </row>
    <row r="10" spans="1:6" ht="13.5" thickBot="1" x14ac:dyDescent="0.25">
      <c r="A10" s="9"/>
      <c r="B10" s="9"/>
      <c r="C10" s="3" t="s">
        <v>19</v>
      </c>
      <c r="D10" s="3" t="s">
        <v>20</v>
      </c>
      <c r="E10" s="9"/>
    </row>
    <row r="11" spans="1:6" x14ac:dyDescent="0.2">
      <c r="A11" s="9" t="s">
        <v>15</v>
      </c>
      <c r="B11" s="9"/>
      <c r="C11" s="19">
        <f ca="1">INTERCEPT(INDIRECT($E$9):G992,INDIRECT($D$9):F992)</f>
        <v>-8.5700313015348532E-3</v>
      </c>
      <c r="D11" s="2"/>
      <c r="E11" s="9"/>
    </row>
    <row r="12" spans="1:6" x14ac:dyDescent="0.2">
      <c r="A12" s="9" t="s">
        <v>16</v>
      </c>
      <c r="B12" s="9"/>
      <c r="C12" s="19">
        <f ca="1">SLOPE(INDIRECT($E$9):G992,INDIRECT($D$9):F992)</f>
        <v>5.0913690065806746E-6</v>
      </c>
      <c r="D12" s="2"/>
      <c r="E12" s="43" t="s">
        <v>48</v>
      </c>
      <c r="F12" s="50" t="s">
        <v>51</v>
      </c>
    </row>
    <row r="13" spans="1:6" x14ac:dyDescent="0.2">
      <c r="A13" s="9" t="s">
        <v>18</v>
      </c>
      <c r="B13" s="9"/>
      <c r="C13" s="2" t="s">
        <v>13</v>
      </c>
      <c r="E13" s="44" t="s">
        <v>34</v>
      </c>
      <c r="F13" s="45">
        <v>1</v>
      </c>
    </row>
    <row r="14" spans="1:6" x14ac:dyDescent="0.2">
      <c r="A14" s="9"/>
      <c r="B14" s="9"/>
      <c r="C14" s="9"/>
      <c r="E14" s="44" t="s">
        <v>32</v>
      </c>
      <c r="F14" s="46">
        <f ca="1">NOW()+15018.5+$C$5/24</f>
        <v>60507.764154513883</v>
      </c>
    </row>
    <row r="15" spans="1:6" x14ac:dyDescent="0.2">
      <c r="A15" s="11" t="s">
        <v>17</v>
      </c>
      <c r="B15" s="9"/>
      <c r="C15" s="12">
        <f ca="1">(C7+C11)+(C8+C12)*INT(MAX(F21:F3533))</f>
        <v>59570.548326414071</v>
      </c>
      <c r="E15" s="44" t="s">
        <v>35</v>
      </c>
      <c r="F15" s="46">
        <f ca="1">ROUND(2*($F$14-$C$7)/$C$8,0)/2+$F$13</f>
        <v>11487</v>
      </c>
    </row>
    <row r="16" spans="1:6" x14ac:dyDescent="0.2">
      <c r="A16" s="14" t="s">
        <v>4</v>
      </c>
      <c r="B16" s="9"/>
      <c r="C16" s="15">
        <f ca="1">+C8+C12</f>
        <v>0.58622493136900666</v>
      </c>
      <c r="E16" s="44" t="s">
        <v>36</v>
      </c>
      <c r="F16" s="46">
        <f ca="1">ROUND(2*($F$14-$C$15)/$C$16,0)/2+$F$13</f>
        <v>1599.5</v>
      </c>
    </row>
    <row r="17" spans="1:18" ht="13.5" thickBot="1" x14ac:dyDescent="0.25">
      <c r="A17" s="13" t="s">
        <v>29</v>
      </c>
      <c r="B17" s="9"/>
      <c r="C17" s="9">
        <f>COUNT(C21:C2191)</f>
        <v>3</v>
      </c>
      <c r="E17" s="44" t="s">
        <v>49</v>
      </c>
      <c r="F17" s="47">
        <f ca="1">+$C$15+$C$16*$F$16-15018.5-$C$5/24</f>
        <v>45490.110937472135</v>
      </c>
    </row>
    <row r="18" spans="1:18" ht="14.25" thickTop="1" thickBot="1" x14ac:dyDescent="0.25">
      <c r="A18" s="14" t="s">
        <v>5</v>
      </c>
      <c r="B18" s="9"/>
      <c r="C18" s="17">
        <f ca="1">+C15</f>
        <v>59570.548326414071</v>
      </c>
      <c r="D18" s="18">
        <f ca="1">+C16</f>
        <v>0.58622493136900666</v>
      </c>
      <c r="E18" s="49" t="s">
        <v>50</v>
      </c>
      <c r="F18" s="48">
        <f ca="1">+($C$15+$C$16*$F$16)-($C$16/2)-15018.5-$C$5/24</f>
        <v>45489.817825006452</v>
      </c>
    </row>
    <row r="19" spans="1:18" ht="13.5" thickTop="1" x14ac:dyDescent="0.2">
      <c r="E19" s="13"/>
      <c r="F19" s="16"/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38</v>
      </c>
      <c r="I20" s="6" t="s">
        <v>28</v>
      </c>
      <c r="J20" s="6" t="s">
        <v>47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4" t="s">
        <v>52</v>
      </c>
    </row>
    <row r="21" spans="1:18" x14ac:dyDescent="0.2">
      <c r="A21" t="s">
        <v>38</v>
      </c>
      <c r="C21" s="7">
        <f>C7</f>
        <v>53774.550999999999</v>
      </c>
      <c r="D21" s="7"/>
      <c r="E21">
        <f>+(C21-C$7)/C$8</f>
        <v>0</v>
      </c>
      <c r="F21" s="34">
        <f>ROUND(2*E21,0)/2</f>
        <v>0</v>
      </c>
      <c r="G21">
        <f>+C21-(C$7+F21*C$8)</f>
        <v>0</v>
      </c>
      <c r="H21">
        <f>+G21</f>
        <v>0</v>
      </c>
      <c r="O21">
        <f ca="1">+C$11+C$12*$F21</f>
        <v>-8.5700313015348532E-3</v>
      </c>
      <c r="Q21" s="1">
        <f>+C21-15018.5</f>
        <v>38756.050999999999</v>
      </c>
    </row>
    <row r="22" spans="1:18" x14ac:dyDescent="0.2">
      <c r="A22" s="35" t="s">
        <v>41</v>
      </c>
      <c r="B22" s="36" t="s">
        <v>42</v>
      </c>
      <c r="C22" s="37">
        <v>55152.745999999999</v>
      </c>
      <c r="D22" s="37" t="s">
        <v>43</v>
      </c>
      <c r="E22">
        <f>+(C22-C$7)/C$8</f>
        <v>2350.9866196272028</v>
      </c>
      <c r="F22" s="34">
        <f>ROUND(2*E22,0)/2</f>
        <v>2351</v>
      </c>
      <c r="G22">
        <f>+C22-(C$7+F22*C$8)</f>
        <v>-7.843840001442004E-3</v>
      </c>
      <c r="I22">
        <f>+G22</f>
        <v>-7.843840001442004E-3</v>
      </c>
      <c r="O22">
        <f ca="1">+C$11+C$12*$F22</f>
        <v>3.3997772329363123E-3</v>
      </c>
      <c r="Q22" s="1">
        <f>+C22-15018.5</f>
        <v>40134.245999999999</v>
      </c>
    </row>
    <row r="23" spans="1:18" x14ac:dyDescent="0.2">
      <c r="A23" s="38" t="s">
        <v>44</v>
      </c>
      <c r="B23" s="39" t="s">
        <v>45</v>
      </c>
      <c r="C23" s="40">
        <v>59570.550999999999</v>
      </c>
      <c r="D23" s="38">
        <v>8.0000000000000002E-3</v>
      </c>
      <c r="E23">
        <f>+(C23-C$7)/C$8</f>
        <v>9887.0758110131501</v>
      </c>
      <c r="F23" s="34">
        <f>ROUND(2*E23,0)/2</f>
        <v>9887</v>
      </c>
      <c r="G23">
        <f>+C23-(C$7+F23*C$8)</f>
        <v>4.4441919999371748E-2</v>
      </c>
      <c r="I23">
        <f>+G23</f>
        <v>4.4441919999371748E-2</v>
      </c>
      <c r="O23">
        <f ca="1">+C$11+C$12*$F23</f>
        <v>4.176833406652828E-2</v>
      </c>
      <c r="Q23" s="1">
        <f>+C23-15018.5</f>
        <v>44552.050999999999</v>
      </c>
    </row>
    <row r="24" spans="1:18" x14ac:dyDescent="0.2">
      <c r="A24" s="32"/>
      <c r="B24" s="33"/>
      <c r="C24" s="32"/>
      <c r="D24" s="32"/>
      <c r="Q24" s="1"/>
    </row>
    <row r="25" spans="1:18" x14ac:dyDescent="0.2">
      <c r="A25" s="28"/>
      <c r="B25" s="29"/>
      <c r="C25" s="30"/>
      <c r="D25" s="31"/>
      <c r="Q25" s="1"/>
    </row>
    <row r="26" spans="1:18" x14ac:dyDescent="0.2">
      <c r="C26" s="7"/>
      <c r="D26" s="7"/>
      <c r="Q26" s="1"/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2024-07-16T06:20:22Z</dcterms:modified>
</cp:coreProperties>
</file>