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E388E9-7986-482B-8AD8-43B28BC8D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E43" i="1" l="1"/>
  <c r="F43" i="1" s="1"/>
  <c r="G43" i="1" s="1"/>
  <c r="K43" i="1" s="1"/>
  <c r="Q43" i="1"/>
  <c r="C7" i="1"/>
  <c r="E34" i="1"/>
  <c r="F34" i="1"/>
  <c r="G34" i="1"/>
  <c r="C8" i="1"/>
  <c r="E35" i="1"/>
  <c r="F35" i="1"/>
  <c r="G35" i="1"/>
  <c r="E36" i="1"/>
  <c r="F36" i="1"/>
  <c r="G36" i="1"/>
  <c r="E37" i="1"/>
  <c r="F37" i="1"/>
  <c r="G37" i="1"/>
  <c r="E21" i="1"/>
  <c r="F21" i="1"/>
  <c r="U21" i="1"/>
  <c r="I21" i="1"/>
  <c r="E22" i="1"/>
  <c r="F22" i="1"/>
  <c r="G22" i="1"/>
  <c r="I22" i="1"/>
  <c r="E23" i="1"/>
  <c r="F23" i="1"/>
  <c r="G23" i="1"/>
  <c r="I23" i="1"/>
  <c r="E24" i="1"/>
  <c r="F24" i="1"/>
  <c r="U24" i="1"/>
  <c r="I24" i="1"/>
  <c r="E25" i="1"/>
  <c r="F25" i="1"/>
  <c r="G25" i="1"/>
  <c r="I25" i="1"/>
  <c r="E26" i="1"/>
  <c r="F26" i="1"/>
  <c r="G26" i="1"/>
  <c r="I26" i="1"/>
  <c r="E27" i="1"/>
  <c r="F27" i="1"/>
  <c r="G27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40" i="1"/>
  <c r="F40" i="1"/>
  <c r="G40" i="1"/>
  <c r="I40" i="1"/>
  <c r="E41" i="1"/>
  <c r="F41" i="1"/>
  <c r="G41" i="1"/>
  <c r="I41" i="1"/>
  <c r="E42" i="1"/>
  <c r="F42" i="1"/>
  <c r="G42" i="1"/>
  <c r="I42" i="1"/>
  <c r="D9" i="1"/>
  <c r="C9" i="1"/>
  <c r="E28" i="1"/>
  <c r="F28" i="1"/>
  <c r="G28" i="1"/>
  <c r="H28" i="1"/>
  <c r="E38" i="1"/>
  <c r="F38" i="1"/>
  <c r="G38" i="1"/>
  <c r="E39" i="1"/>
  <c r="F39" i="1"/>
  <c r="G39" i="1"/>
  <c r="K39" i="1"/>
  <c r="Q21" i="1"/>
  <c r="Q22" i="1"/>
  <c r="Q23" i="1"/>
  <c r="Q24" i="1"/>
  <c r="Q25" i="1"/>
  <c r="Q26" i="1"/>
  <c r="I27" i="1"/>
  <c r="Q27" i="1"/>
  <c r="I29" i="1"/>
  <c r="Q29" i="1"/>
  <c r="Q30" i="1"/>
  <c r="Q31" i="1"/>
  <c r="Q32" i="1"/>
  <c r="Q33" i="1"/>
  <c r="Q40" i="1"/>
  <c r="Q41" i="1"/>
  <c r="Q42" i="1"/>
  <c r="G31" i="2"/>
  <c r="C31" i="2"/>
  <c r="E31" i="2"/>
  <c r="G30" i="2"/>
  <c r="C30" i="2"/>
  <c r="E30" i="2"/>
  <c r="G29" i="2"/>
  <c r="C29" i="2"/>
  <c r="E29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31" i="2"/>
  <c r="D31" i="2"/>
  <c r="B31" i="2"/>
  <c r="A31" i="2"/>
  <c r="H30" i="2"/>
  <c r="B30" i="2"/>
  <c r="D30" i="2"/>
  <c r="A30" i="2"/>
  <c r="H29" i="2"/>
  <c r="D29" i="2"/>
  <c r="B29" i="2"/>
  <c r="A29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C17" i="1"/>
  <c r="Q39" i="1"/>
  <c r="Q34" i="1"/>
  <c r="Q35" i="1"/>
  <c r="Q36" i="1"/>
  <c r="Q37" i="1"/>
  <c r="I38" i="1"/>
  <c r="Q38" i="1"/>
  <c r="Q28" i="1"/>
  <c r="N37" i="1"/>
  <c r="H37" i="1"/>
  <c r="N36" i="1"/>
  <c r="H36" i="1"/>
  <c r="H35" i="1"/>
  <c r="N35" i="1"/>
  <c r="H34" i="1"/>
  <c r="N34" i="1"/>
  <c r="C11" i="1"/>
  <c r="C12" i="1"/>
  <c r="O43" i="1" l="1"/>
  <c r="C16" i="1"/>
  <c r="D18" i="1" s="1"/>
  <c r="O41" i="1"/>
  <c r="O35" i="1"/>
  <c r="O34" i="1"/>
  <c r="O28" i="1"/>
  <c r="O30" i="1"/>
  <c r="O36" i="1"/>
  <c r="O27" i="1"/>
  <c r="O40" i="1"/>
  <c r="O42" i="1"/>
  <c r="O39" i="1"/>
  <c r="O38" i="1"/>
  <c r="O22" i="1"/>
  <c r="O24" i="1"/>
  <c r="O37" i="1"/>
  <c r="O23" i="1"/>
  <c r="C15" i="1"/>
  <c r="O32" i="1"/>
  <c r="O29" i="1"/>
  <c r="O33" i="1"/>
  <c r="O26" i="1"/>
  <c r="O21" i="1"/>
  <c r="O31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<sst xmlns="http://schemas.openxmlformats.org/spreadsheetml/2006/main" count="283" uniqueCount="154">
  <si>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</si>
  <si>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</si>
  <si>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</si>
  <si>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</si>
  <si>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</si>
  <si>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</si>
  <si>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</si>
  <si>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</si>
  <si>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</si>
  <si>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</si>
  <si>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</si>
  <si>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</si>
  <si>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</si>
  <si>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</si>
  <si>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</si>
  <si>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</si>
  <si>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</si>
  <si>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</si>
  <si>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</si>
  <si>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</si>
  <si>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</si>
  <si>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</si>
  <si>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</si>
  <si>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</si>
  <si>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</si>
  <si>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</si>
  <si>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</si>
  <si>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</si>
  <si>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</si>
  <si>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1199</t>
  </si>
  <si>
    <t>K</t>
  </si>
  <si>
    <t>N</t>
  </si>
  <si>
    <t>v</t>
  </si>
  <si>
    <t>Paschke A</t>
  </si>
  <si>
    <t>BBSAG Bull.91</t>
  </si>
  <si>
    <t>B</t>
  </si>
  <si>
    <t># of data points:</t>
  </si>
  <si>
    <t>TU Cet / GSC 00051-00974</t>
  </si>
  <si>
    <t>EA/SD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</si>
  <si>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</si>
  <si>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</si>
  <si>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</si>
  <si>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</si>
  <si>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</si>
  <si>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</si>
  <si>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</si>
  <si>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</si>
  <si>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</si>
  <si>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</si>
  <si>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</si>
  <si>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</si>
  <si>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</si>
  <si>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</si>
  <si>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</si>
  <si>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</si>
  <si>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</si>
  <si>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</si>
  <si>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2425621.31 </t>
  </si>
  <si>
    <t> 09.01.1929 19:26 </t>
  </si>
  <si>
    <t> -0.93 </t>
  </si>
  <si>
    <t>P </t>
  </si>
  <si>
    <t> H.Rügemer </t>
  </si>
  <si>
    <t> AN 251.318 </t>
  </si>
  <si>
    <t>2426351.28 </t>
  </si>
  <si>
    <t> 09.01.1931 18:43 </t>
  </si>
  <si>
    <t> 0.10 </t>
  </si>
  <si>
    <t>2426386.29 </t>
  </si>
  <si>
    <t> 13.02.1931 18:57 </t>
  </si>
  <si>
    <t> -0.01 </t>
  </si>
  <si>
    <t>2426688.28 </t>
  </si>
  <si>
    <t> 12.12.1931 18:43 </t>
  </si>
  <si>
    <t> -1.02 </t>
  </si>
  <si>
    <t>2427365.47 </t>
  </si>
  <si>
    <t> 19.10.1933 23:16 </t>
  </si>
  <si>
    <t> -0.07 </t>
  </si>
  <si>
    <t>2427396.38 </t>
  </si>
  <si>
    <t> 19.11.1933 21:07 </t>
  </si>
  <si>
    <t> 0.11 </t>
  </si>
  <si>
    <t>2427396.45 </t>
  </si>
  <si>
    <t> 19.11.1933 22:48 </t>
  </si>
  <si>
    <t> 0.18 </t>
  </si>
  <si>
    <t>2428902.447 </t>
  </si>
  <si>
    <t> 03.01.1938 22:43 </t>
  </si>
  <si>
    <t> 0.002 </t>
  </si>
  <si>
    <t>V </t>
  </si>
  <si>
    <t> D.Y.Martinov </t>
  </si>
  <si>
    <t> AC 67.8 </t>
  </si>
  <si>
    <t>2430184.667 </t>
  </si>
  <si>
    <t> 09.07.1941 04:00 </t>
  </si>
  <si>
    <t> 0.000 </t>
  </si>
  <si>
    <t>2432551.527 </t>
  </si>
  <si>
    <t> 01.01.1948 00:38 </t>
  </si>
  <si>
    <t> 0.019 </t>
  </si>
  <si>
    <t> A.Soloviev </t>
  </si>
  <si>
    <t> PZ 12.265 </t>
  </si>
  <si>
    <t>2433319.955 </t>
  </si>
  <si>
    <t> 07.02.1950 10:55 </t>
  </si>
  <si>
    <t> -0.007 </t>
  </si>
  <si>
    <t> S.Kaho </t>
  </si>
  <si>
    <t> BTOK 30.218 </t>
  </si>
  <si>
    <t>2437645.33 </t>
  </si>
  <si>
    <t> 11.12.1961 19:55 </t>
  </si>
  <si>
    <t> 0.07 </t>
  </si>
  <si>
    <t> I.V.Il'in et al. </t>
  </si>
  <si>
    <t> AC 1199.7 </t>
  </si>
  <si>
    <t>2437961.43 </t>
  </si>
  <si>
    <t> 23.10.1962 22:19 </t>
  </si>
  <si>
    <t> 0.00 </t>
  </si>
  <si>
    <t>2438374.34 </t>
  </si>
  <si>
    <t> 10.12.1963 20:09 </t>
  </si>
  <si>
    <t> 0.14 </t>
  </si>
  <si>
    <t>2439028.51 </t>
  </si>
  <si>
    <t> 25.09.1965 00:14 </t>
  </si>
  <si>
    <t> 0.03 </t>
  </si>
  <si>
    <t>2442304.56 </t>
  </si>
  <si>
    <t> 14.09.1974 01:26 </t>
  </si>
  <si>
    <t> 0.26 </t>
  </si>
  <si>
    <t>2447512.51 </t>
  </si>
  <si>
    <t> 17.12.1988 00:14 </t>
  </si>
  <si>
    <t> 0.29 </t>
  </si>
  <si>
    <t> A.Paschke </t>
  </si>
  <si>
    <t> BBS 91 </t>
  </si>
  <si>
    <t>2454033.5735 </t>
  </si>
  <si>
    <t> 25.10.2006 01:45 </t>
  </si>
  <si>
    <t> 0.4623 </t>
  </si>
  <si>
    <t>C </t>
  </si>
  <si>
    <t>-I</t>
  </si>
  <si>
    <t> F.Agerer </t>
  </si>
  <si>
    <t>BAVM 201 </t>
  </si>
  <si>
    <t>2456270.9979 </t>
  </si>
  <si>
    <t> 09.12.2012 11:56 </t>
  </si>
  <si>
    <t>6322.5</t>
  </si>
  <si>
    <t> 0.5856 </t>
  </si>
  <si>
    <t> K.Nagai </t>
  </si>
  <si>
    <t>VSB 55 </t>
  </si>
  <si>
    <t>2456270.9985 </t>
  </si>
  <si>
    <t> 09.12.2012 11:57 </t>
  </si>
  <si>
    <t> 0.5862 </t>
  </si>
  <si>
    <t>2456609.0957 </t>
  </si>
  <si>
    <t> 12.11.2013 14:17 </t>
  </si>
  <si>
    <t>6399.5</t>
  </si>
  <si>
    <t> 0.5633 </t>
  </si>
  <si>
    <t>Ic</t>
  </si>
  <si>
    <t>VSB 56 </t>
  </si>
  <si>
    <t>II</t>
  </si>
  <si>
    <t>BAD?</t>
  </si>
  <si>
    <t>VSB, 91</t>
  </si>
  <si>
    <t xml:space="preserve">Mag </t>
  </si>
  <si>
    <t>Add cycle</t>
  </si>
  <si>
    <t>Old Cycle</t>
  </si>
  <si>
    <t>Next ToM-P</t>
  </si>
  <si>
    <t>Next ToM-S</t>
  </si>
  <si>
    <t>VSX</t>
  </si>
  <si>
    <t>10.80-11.80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</si>
</sst>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0" fontId="21" fillId="0" borderId="0" xfId="0" applyFont="1" applyAlignment="1"/>
    <xf numFmtId="0" fontId="0" fillId="3" borderId="13" xfId="0" applyFill="1" applyBorder="1" applyAlignment="1">
      <alignment horizontal="right" vertical="center"/>
    </xf>
    <xf numFmtId="0" fontId="21" fillId="3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Cet - O-C Diagr.</a:t>
            </a:r>
          </a:p>
        </c:rich>
      </c:tx>
      <c:layout>
        <c:manualLayout>
          <c:xMode val="edge"/>
          <c:yMode val="edge"/>
          <c:x val="0.386503389530296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6696535222553"/>
          <c:y val="0.14769252958613219"/>
          <c:w val="0.829755222628707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  <c:pt idx="13">
                  <c:v>9.9000000045634806E-4</c:v>
                </c:pt>
                <c:pt idx="14">
                  <c:v>0.14100999999209307</c:v>
                </c:pt>
                <c:pt idx="15">
                  <c:v>2.6680000002670567E-2</c:v>
                </c:pt>
                <c:pt idx="16">
                  <c:v>0.26385999999911292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7-4AB9-93F1-15B2B5DA4C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-0.93130999999993946</c:v>
                </c:pt>
                <c:pt idx="1">
                  <c:v>0.10446999999840045</c:v>
                </c:pt>
                <c:pt idx="2">
                  <c:v>-1.4890000002196757E-2</c:v>
                </c:pt>
                <c:pt idx="3">
                  <c:v>-1.0156200000019453</c:v>
                </c:pt>
                <c:pt idx="4">
                  <c:v>-6.5800000000308501E-2</c:v>
                </c:pt>
                <c:pt idx="5">
                  <c:v>0.10600999999951455</c:v>
                </c:pt>
                <c:pt idx="6">
                  <c:v>0.17600999999922351</c:v>
                </c:pt>
                <c:pt idx="8">
                  <c:v>1.6999999970721547E-3</c:v>
                </c:pt>
                <c:pt idx="9">
                  <c:v>5.999999848427251E-5</c:v>
                </c:pt>
                <c:pt idx="10">
                  <c:v>1.9429999996646075E-2</c:v>
                </c:pt>
                <c:pt idx="11">
                  <c:v>-7.3199999969801866E-3</c:v>
                </c:pt>
                <c:pt idx="12">
                  <c:v>6.5230000000155997E-2</c:v>
                </c:pt>
                <c:pt idx="17">
                  <c:v>0.28624000000127126</c:v>
                </c:pt>
                <c:pt idx="19">
                  <c:v>0.58557500000461005</c:v>
                </c:pt>
                <c:pt idx="20">
                  <c:v>0.58617500000400469</c:v>
                </c:pt>
                <c:pt idx="21">
                  <c:v>0.56328499999654014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7-4AB9-93F1-15B2B5DA4C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7-4AB9-93F1-15B2B5DA4C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0.4622899999958463</c:v>
                </c:pt>
                <c:pt idx="22">
                  <c:v>0.57864499991410412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7-4AB9-93F1-15B2B5DA4C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7-4AB9-93F1-15B2B5DA4C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7-4AB9-93F1-15B2B5DA4C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3">
                  <c:v>9.9000000045634806E-4</c:v>
                </c:pt>
                <c:pt idx="14">
                  <c:v>0.14100999999209307</c:v>
                </c:pt>
                <c:pt idx="15">
                  <c:v>2.6680000002670567E-2</c:v>
                </c:pt>
                <c:pt idx="16">
                  <c:v>0.26385999999911292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7-4AB9-93F1-15B2B5DA4C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-5.2777062352356664E-2</c:v>
                </c:pt>
                <c:pt idx="1">
                  <c:v>-3.9596922602844788E-2</c:v>
                </c:pt>
                <c:pt idx="2">
                  <c:v>-3.8961735145036987E-2</c:v>
                </c:pt>
                <c:pt idx="3">
                  <c:v>-3.3483243321444707E-2</c:v>
                </c:pt>
                <c:pt idx="4">
                  <c:v>-2.1255884758644532E-2</c:v>
                </c:pt>
                <c:pt idx="5">
                  <c:v>-2.0700095733062706E-2</c:v>
                </c:pt>
                <c:pt idx="6">
                  <c:v>-2.0700095733062706E-2</c:v>
                </c:pt>
                <c:pt idx="7">
                  <c:v>-6.1229237989099405E-4</c:v>
                </c:pt>
                <c:pt idx="8">
                  <c:v>6.5335665204467692E-3</c:v>
                </c:pt>
                <c:pt idx="9">
                  <c:v>2.9717908730431512E-2</c:v>
                </c:pt>
                <c:pt idx="10">
                  <c:v>7.2513663700232114E-2</c:v>
                </c:pt>
                <c:pt idx="11">
                  <c:v>8.6408389339777764E-2</c:v>
                </c:pt>
                <c:pt idx="12">
                  <c:v>0.16461584508236329</c:v>
                </c:pt>
                <c:pt idx="13">
                  <c:v>0.1703325322026335</c:v>
                </c:pt>
                <c:pt idx="14">
                  <c:v>0.17779598483187517</c:v>
                </c:pt>
                <c:pt idx="15">
                  <c:v>0.18962635123354546</c:v>
                </c:pt>
                <c:pt idx="16">
                  <c:v>0.24885758167412292</c:v>
                </c:pt>
                <c:pt idx="17">
                  <c:v>0.34302412229412949</c:v>
                </c:pt>
                <c:pt idx="18">
                  <c:v>0.46093079414970251</c:v>
                </c:pt>
                <c:pt idx="19">
                  <c:v>0.50138429536883689</c:v>
                </c:pt>
                <c:pt idx="20">
                  <c:v>0.50138429536883689</c:v>
                </c:pt>
                <c:pt idx="21">
                  <c:v>0.50749797465023694</c:v>
                </c:pt>
                <c:pt idx="22">
                  <c:v>0.56085372110609222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7-4AB9-93F1-15B2B5DA4C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-657</c:v>
                </c:pt>
                <c:pt idx="1">
                  <c:v>-491</c:v>
                </c:pt>
                <c:pt idx="2">
                  <c:v>-483</c:v>
                </c:pt>
                <c:pt idx="3">
                  <c:v>-414</c:v>
                </c:pt>
                <c:pt idx="4">
                  <c:v>-260</c:v>
                </c:pt>
                <c:pt idx="5">
                  <c:v>-253</c:v>
                </c:pt>
                <c:pt idx="6">
                  <c:v>-253</c:v>
                </c:pt>
                <c:pt idx="7">
                  <c:v>0</c:v>
                </c:pt>
                <c:pt idx="8">
                  <c:v>90</c:v>
                </c:pt>
                <c:pt idx="9">
                  <c:v>382</c:v>
                </c:pt>
                <c:pt idx="10">
                  <c:v>921</c:v>
                </c:pt>
                <c:pt idx="11">
                  <c:v>1096</c:v>
                </c:pt>
                <c:pt idx="12">
                  <c:v>2081</c:v>
                </c:pt>
                <c:pt idx="13">
                  <c:v>2153</c:v>
                </c:pt>
                <c:pt idx="14">
                  <c:v>2247</c:v>
                </c:pt>
                <c:pt idx="15">
                  <c:v>2396</c:v>
                </c:pt>
                <c:pt idx="16">
                  <c:v>3142</c:v>
                </c:pt>
                <c:pt idx="17">
                  <c:v>4328</c:v>
                </c:pt>
                <c:pt idx="18">
                  <c:v>5813</c:v>
                </c:pt>
                <c:pt idx="19">
                  <c:v>6322.5</c:v>
                </c:pt>
                <c:pt idx="20">
                  <c:v>6322.5</c:v>
                </c:pt>
                <c:pt idx="21">
                  <c:v>6399.5</c:v>
                </c:pt>
                <c:pt idx="22">
                  <c:v>7071.5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0">
                  <c:v>-0.93130999999993946</c:v>
                </c:pt>
                <c:pt idx="3">
                  <c:v>-1.0156200000019453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7-4AB9-93F1-15B2B5DA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83120"/>
        <c:axId val="1"/>
      </c:scatterChart>
      <c:valAx>
        <c:axId val="93798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38972352382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8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6809815950920248E-2"/>
          <c:y val="0.92000129214617399"/>
          <c:w val="0.823620275993108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304800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9CB094-DD53-508D-A9E6-90AF3D2B0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ht="12.95" customHeight="1">
      <c r="A2" t="s">
        <v>24</v>
      </c>
      <c r="B2" s="11" t="s">
        <v>38</v>
      </c>
    </row>
    <row r="3" spans="1:6" ht="12.95" customHeight="1"/>
    <row r="4" spans="1:6" ht="12.95" customHeight="1" thickTop="1" thickBot="1">
      <c r="A4" s="6" t="s">
        <v>0</v>
      </c>
      <c r="C4" s="3">
        <v>28507.24</v>
      </c>
      <c r="D4" s="4">
        <v>4.3911699999999998</v>
      </c>
    </row>
    <row r="5" spans="1:6" ht="12.95" customHeight="1" thickTop="1">
      <c r="A5" s="15" t="s">
        <v>41</v>
      </c>
      <c r="B5" s="16"/>
      <c r="C5" s="17">
        <v>-9.5</v>
      </c>
      <c r="D5" s="16" t="s">
        <v>42</v>
      </c>
    </row>
    <row r="6" spans="1:6" ht="12.95" customHeight="1">
      <c r="A6" s="6" t="s">
        <v>1</v>
      </c>
    </row>
    <row r="7" spans="1:6" ht="12.95" customHeight="1">
      <c r="A7" t="s">
        <v>2</v>
      </c>
      <c r="C7">
        <f>+C4</f>
        <v>28507.24</v>
      </c>
      <c r="D7" s="52" t="s">
        <v>152</v>
      </c>
    </row>
    <row r="8" spans="1:6" ht="12.95" customHeight="1">
      <c r="A8" t="s">
        <v>3</v>
      </c>
      <c r="C8">
        <f>+D4</f>
        <v>4.3911699999999998</v>
      </c>
      <c r="D8" s="52" t="s">
        <v>152</v>
      </c>
    </row>
    <row r="9" spans="1:6" ht="12.95" customHeight="1">
      <c r="A9" s="30" t="s">
        <v>45</v>
      </c>
      <c r="B9" s="31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>
      <c r="A10" s="16"/>
      <c r="B10" s="16"/>
      <c r="C10" s="5" t="s">
        <v>20</v>
      </c>
      <c r="D10" s="5" t="s">
        <v>21</v>
      </c>
      <c r="E10" s="16"/>
    </row>
    <row r="11" spans="1:6" ht="12.95" customHeight="1">
      <c r="A11" s="16" t="s">
        <v>16</v>
      </c>
      <c r="B11" s="16"/>
      <c r="C11" s="18">
        <f ca="1">INTERCEPT(INDIRECT($D$9):G992,INDIRECT($C$9):F992)</f>
        <v>-6.1229237989099405E-4</v>
      </c>
      <c r="D11" s="19"/>
      <c r="E11" s="16"/>
    </row>
    <row r="12" spans="1:6" ht="12.95" customHeight="1">
      <c r="A12" s="16" t="s">
        <v>17</v>
      </c>
      <c r="B12" s="16"/>
      <c r="C12" s="18">
        <f ca="1">SLOPE(INDIRECT($D$9):G992,INDIRECT($C$9):F992)</f>
        <v>7.9398432225975146E-5</v>
      </c>
      <c r="D12" s="19"/>
      <c r="E12" s="53" t="s">
        <v>147</v>
      </c>
      <c r="F12" s="54" t="s">
        <v>153</v>
      </c>
    </row>
    <row r="13" spans="1:6" ht="12.95" customHeight="1">
      <c r="A13" s="16" t="s">
        <v>19</v>
      </c>
      <c r="B13" s="16"/>
      <c r="C13" s="19" t="s">
        <v>14</v>
      </c>
      <c r="E13" s="55" t="s">
        <v>148</v>
      </c>
      <c r="F13" s="56">
        <v>1</v>
      </c>
    </row>
    <row r="14" spans="1:6" ht="12.95" customHeight="1">
      <c r="A14" s="16"/>
      <c r="B14" s="16"/>
      <c r="C14" s="16"/>
      <c r="E14" s="55" t="s">
        <v>43</v>
      </c>
      <c r="F14" s="57">
        <f ca="1">NOW()+15018.5+$C$5/24</f>
        <v>60507.827678124995</v>
      </c>
    </row>
    <row r="15" spans="1:6" ht="12.95" customHeight="1">
      <c r="A15" s="22" t="s">
        <v>18</v>
      </c>
      <c r="B15" s="16"/>
      <c r="C15" s="23">
        <f ca="1">(C7+C11)+(C8+C12)*INT(MAX(F21:F3533))</f>
        <v>59557.763884021893</v>
      </c>
      <c r="E15" s="55" t="s">
        <v>149</v>
      </c>
      <c r="F15" s="57">
        <f ca="1">ROUND(2*($F$14-$C$7)/$C$8,0)/2+$F$13</f>
        <v>7288.5</v>
      </c>
    </row>
    <row r="16" spans="1:6" ht="12.95" customHeight="1">
      <c r="A16" s="25" t="s">
        <v>4</v>
      </c>
      <c r="B16" s="16"/>
      <c r="C16" s="26">
        <f ca="1">+C8+C12</f>
        <v>4.3912493984322261</v>
      </c>
      <c r="E16" s="55" t="s">
        <v>44</v>
      </c>
      <c r="F16" s="57">
        <f ca="1">ROUND(2*($F$14-$C$15)/$C$16,0)/2+$F$13</f>
        <v>217.5</v>
      </c>
    </row>
    <row r="17" spans="1:21" ht="12.95" customHeight="1" thickBot="1">
      <c r="A17" s="24" t="s">
        <v>36</v>
      </c>
      <c r="B17" s="16"/>
      <c r="C17" s="16">
        <f>COUNT(C21:C2191)</f>
        <v>23</v>
      </c>
      <c r="E17" s="55" t="s">
        <v>150</v>
      </c>
      <c r="F17" s="58">
        <f ca="1">+$C$15+$C$16*$F$16-15018.5-$C$5/24</f>
        <v>45494.75646151424</v>
      </c>
    </row>
    <row r="18" spans="1:21" ht="12.95" customHeight="1" thickTop="1" thickBot="1">
      <c r="A18" s="25" t="s">
        <v>5</v>
      </c>
      <c r="B18" s="16"/>
      <c r="C18" s="28">
        <f ca="1">+C15</f>
        <v>59557.763884021893</v>
      </c>
      <c r="D18" s="29">
        <f ca="1">+C16</f>
        <v>4.3912493984322261</v>
      </c>
      <c r="E18" s="60" t="s">
        <v>151</v>
      </c>
      <c r="F18" s="59">
        <f ca="1">+($C$15+$C$16*$F$16)-($C$16/2)-15018.5-$C$5/24</f>
        <v>45492.560836815021</v>
      </c>
    </row>
    <row r="19" spans="1:21" ht="12.95" customHeight="1" thickTop="1">
      <c r="E19" s="24"/>
      <c r="F19" s="27"/>
    </row>
    <row r="20" spans="1:21" ht="12.95" customHeight="1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28</v>
      </c>
      <c r="I20" s="8" t="s">
        <v>55</v>
      </c>
      <c r="J20" s="8" t="s">
        <v>50</v>
      </c>
      <c r="K20" s="8" t="s">
        <v>48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8" t="s">
        <v>145</v>
      </c>
    </row>
    <row r="21" spans="1:21" ht="12.95" customHeight="1">
      <c r="A21" s="45" t="s">
        <v>62</v>
      </c>
      <c r="B21" s="47" t="s">
        <v>40</v>
      </c>
      <c r="C21" s="46">
        <v>25621.31</v>
      </c>
      <c r="D21" s="46" t="s">
        <v>55</v>
      </c>
      <c r="E21">
        <f t="shared" ref="E21:E42" si="0">+(C21-C$7)/C$8</f>
        <v>-657.21208698365137</v>
      </c>
      <c r="F21">
        <f t="shared" ref="F21:F42" si="1">ROUND(2*E21,0)/2</f>
        <v>-657</v>
      </c>
      <c r="I21">
        <f>+U21</f>
        <v>-0.93130999999993946</v>
      </c>
      <c r="O21">
        <f t="shared" ref="O21:O42" ca="1" si="2">+C$11+C$12*$F21</f>
        <v>-5.2777062352356664E-2</v>
      </c>
      <c r="Q21" s="2">
        <f t="shared" ref="Q21:Q42" si="3">+C21-15018.5</f>
        <v>10602.810000000001</v>
      </c>
      <c r="U21">
        <f>+C21-(C$7+F21*C$8)</f>
        <v>-0.93130999999993946</v>
      </c>
    </row>
    <row r="22" spans="1:21" ht="12.95" customHeight="1">
      <c r="A22" s="45" t="s">
        <v>62</v>
      </c>
      <c r="B22" s="47" t="s">
        <v>40</v>
      </c>
      <c r="C22" s="46">
        <v>26351.279999999999</v>
      </c>
      <c r="D22" s="46" t="s">
        <v>55</v>
      </c>
      <c r="E22">
        <f t="shared" si="0"/>
        <v>-490.97620907411988</v>
      </c>
      <c r="F22">
        <f t="shared" si="1"/>
        <v>-491</v>
      </c>
      <c r="G22">
        <f>+C22-(C$7+F22*C$8)</f>
        <v>0.10446999999840045</v>
      </c>
      <c r="I22">
        <f>+G22</f>
        <v>0.10446999999840045</v>
      </c>
      <c r="O22">
        <f t="shared" ca="1" si="2"/>
        <v>-3.9596922602844788E-2</v>
      </c>
      <c r="Q22" s="2">
        <f t="shared" si="3"/>
        <v>11332.779999999999</v>
      </c>
    </row>
    <row r="23" spans="1:21" ht="12.95" customHeight="1">
      <c r="A23" s="45" t="s">
        <v>62</v>
      </c>
      <c r="B23" s="47" t="s">
        <v>40</v>
      </c>
      <c r="C23" s="46">
        <v>26386.29</v>
      </c>
      <c r="D23" s="46" t="s">
        <v>55</v>
      </c>
      <c r="E23">
        <f t="shared" si="0"/>
        <v>-483.00339089582064</v>
      </c>
      <c r="F23">
        <f t="shared" si="1"/>
        <v>-483</v>
      </c>
      <c r="G23">
        <f>+C23-(C$7+F23*C$8)</f>
        <v>-1.4890000002196757E-2</v>
      </c>
      <c r="I23">
        <f>+G23</f>
        <v>-1.4890000002196757E-2</v>
      </c>
      <c r="O23">
        <f t="shared" ca="1" si="2"/>
        <v>-3.8961735145036987E-2</v>
      </c>
      <c r="Q23" s="2">
        <f t="shared" si="3"/>
        <v>11367.79</v>
      </c>
    </row>
    <row r="24" spans="1:21" ht="12.95" customHeight="1">
      <c r="A24" s="45" t="s">
        <v>62</v>
      </c>
      <c r="B24" s="47" t="s">
        <v>40</v>
      </c>
      <c r="C24" s="46">
        <v>26688.28</v>
      </c>
      <c r="D24" s="46" t="s">
        <v>55</v>
      </c>
      <c r="E24">
        <f t="shared" si="0"/>
        <v>-414.23128687798533</v>
      </c>
      <c r="F24">
        <f t="shared" si="1"/>
        <v>-414</v>
      </c>
      <c r="I24">
        <f>+U24</f>
        <v>-1.0156200000019453</v>
      </c>
      <c r="O24">
        <f t="shared" ca="1" si="2"/>
        <v>-3.3483243321444707E-2</v>
      </c>
      <c r="Q24" s="2">
        <f t="shared" si="3"/>
        <v>11669.779999999999</v>
      </c>
      <c r="U24">
        <f>+C24-(C$7+F24*C$8)</f>
        <v>-1.0156200000019453</v>
      </c>
    </row>
    <row r="25" spans="1:21" ht="12.95" customHeight="1">
      <c r="A25" s="45" t="s">
        <v>62</v>
      </c>
      <c r="B25" s="47" t="s">
        <v>40</v>
      </c>
      <c r="C25" s="46">
        <v>27365.47</v>
      </c>
      <c r="D25" s="46" t="s">
        <v>55</v>
      </c>
      <c r="E25">
        <f t="shared" si="0"/>
        <v>-260.01498461685622</v>
      </c>
      <c r="F25">
        <f t="shared" si="1"/>
        <v>-260</v>
      </c>
      <c r="G25">
        <f t="shared" ref="G25:G42" si="4">+C25-(C$7+F25*C$8)</f>
        <v>-6.5800000000308501E-2</v>
      </c>
      <c r="I25">
        <f>+G25</f>
        <v>-6.5800000000308501E-2</v>
      </c>
      <c r="O25">
        <f t="shared" ca="1" si="2"/>
        <v>-2.1255884758644532E-2</v>
      </c>
      <c r="Q25" s="2">
        <f t="shared" si="3"/>
        <v>12346.970000000001</v>
      </c>
    </row>
    <row r="26" spans="1:21" ht="12.95" customHeight="1">
      <c r="A26" s="45" t="s">
        <v>62</v>
      </c>
      <c r="B26" s="47" t="s">
        <v>40</v>
      </c>
      <c r="C26" s="46">
        <v>27396.38</v>
      </c>
      <c r="D26" s="46" t="s">
        <v>55</v>
      </c>
      <c r="E26">
        <f t="shared" si="0"/>
        <v>-252.97585837032059</v>
      </c>
      <c r="F26">
        <f t="shared" si="1"/>
        <v>-253</v>
      </c>
      <c r="G26">
        <f t="shared" si="4"/>
        <v>0.10600999999951455</v>
      </c>
      <c r="I26">
        <f>+G26</f>
        <v>0.10600999999951455</v>
      </c>
      <c r="O26">
        <f t="shared" ca="1" si="2"/>
        <v>-2.0700095733062706E-2</v>
      </c>
      <c r="Q26" s="2">
        <f t="shared" si="3"/>
        <v>12377.880000000001</v>
      </c>
    </row>
    <row r="27" spans="1:21" ht="12.75" customHeight="1">
      <c r="A27" s="45" t="s">
        <v>62</v>
      </c>
      <c r="B27" s="47" t="s">
        <v>40</v>
      </c>
      <c r="C27" s="46">
        <v>27396.45</v>
      </c>
      <c r="D27" s="46" t="s">
        <v>55</v>
      </c>
      <c r="E27">
        <f t="shared" si="0"/>
        <v>-252.95991728855884</v>
      </c>
      <c r="F27">
        <f t="shared" si="1"/>
        <v>-253</v>
      </c>
      <c r="G27">
        <f t="shared" si="4"/>
        <v>0.17600999999922351</v>
      </c>
      <c r="I27">
        <f>+G27</f>
        <v>0.17600999999922351</v>
      </c>
      <c r="O27">
        <f t="shared" ca="1" si="2"/>
        <v>-2.0700095733062706E-2</v>
      </c>
      <c r="Q27" s="2">
        <f t="shared" si="3"/>
        <v>12377.95</v>
      </c>
    </row>
    <row r="28" spans="1:21" ht="12.75" customHeight="1">
      <c r="A28" t="s">
        <v>12</v>
      </c>
      <c r="C28" s="9">
        <v>28507.24</v>
      </c>
      <c r="D28" s="9" t="s">
        <v>14</v>
      </c>
      <c r="E28">
        <f t="shared" si="0"/>
        <v>0</v>
      </c>
      <c r="F28">
        <f t="shared" si="1"/>
        <v>0</v>
      </c>
      <c r="G28">
        <f t="shared" si="4"/>
        <v>0</v>
      </c>
      <c r="H28">
        <f>+G28</f>
        <v>0</v>
      </c>
      <c r="O28">
        <f t="shared" ca="1" si="2"/>
        <v>-6.1229237989099405E-4</v>
      </c>
      <c r="Q28" s="2">
        <f t="shared" si="3"/>
        <v>13488.740000000002</v>
      </c>
    </row>
    <row r="29" spans="1:21" ht="12.75" customHeight="1">
      <c r="A29" s="45" t="s">
        <v>86</v>
      </c>
      <c r="B29" s="47" t="s">
        <v>40</v>
      </c>
      <c r="C29" s="46">
        <v>28902.447</v>
      </c>
      <c r="D29" s="46" t="s">
        <v>55</v>
      </c>
      <c r="E29">
        <f t="shared" si="0"/>
        <v>90.000387140556739</v>
      </c>
      <c r="F29">
        <f t="shared" si="1"/>
        <v>90</v>
      </c>
      <c r="G29">
        <f t="shared" si="4"/>
        <v>1.6999999970721547E-3</v>
      </c>
      <c r="I29">
        <f>+G29</f>
        <v>1.6999999970721547E-3</v>
      </c>
      <c r="O29">
        <f t="shared" ca="1" si="2"/>
        <v>6.5335665204467692E-3</v>
      </c>
      <c r="Q29" s="2">
        <f t="shared" si="3"/>
        <v>13883.947</v>
      </c>
    </row>
    <row r="30" spans="1:21" ht="12.75" customHeight="1">
      <c r="A30" s="45" t="s">
        <v>86</v>
      </c>
      <c r="B30" s="47" t="s">
        <v>40</v>
      </c>
      <c r="C30" s="46">
        <v>30184.667000000001</v>
      </c>
      <c r="D30" s="46" t="s">
        <v>55</v>
      </c>
      <c r="E30">
        <f t="shared" si="0"/>
        <v>382.00001366378433</v>
      </c>
      <c r="F30">
        <f t="shared" si="1"/>
        <v>382</v>
      </c>
      <c r="G30">
        <f t="shared" si="4"/>
        <v>5.999999848427251E-5</v>
      </c>
      <c r="I30">
        <f>+G30</f>
        <v>5.999999848427251E-5</v>
      </c>
      <c r="O30">
        <f t="shared" ca="1" si="2"/>
        <v>2.9717908730431512E-2</v>
      </c>
      <c r="Q30" s="2">
        <f t="shared" si="3"/>
        <v>15166.167000000001</v>
      </c>
    </row>
    <row r="31" spans="1:21" ht="12.75" customHeight="1">
      <c r="A31" s="45" t="s">
        <v>94</v>
      </c>
      <c r="B31" s="47" t="s">
        <v>40</v>
      </c>
      <c r="C31" s="46">
        <v>32551.526999999998</v>
      </c>
      <c r="D31" s="46" t="s">
        <v>55</v>
      </c>
      <c r="E31">
        <f t="shared" si="0"/>
        <v>921.0044247888369</v>
      </c>
      <c r="F31">
        <f t="shared" si="1"/>
        <v>921</v>
      </c>
      <c r="G31">
        <f t="shared" si="4"/>
        <v>1.9429999996646075E-2</v>
      </c>
      <c r="I31">
        <f>+G31</f>
        <v>1.9429999996646075E-2</v>
      </c>
      <c r="O31">
        <f t="shared" ca="1" si="2"/>
        <v>7.2513663700232114E-2</v>
      </c>
      <c r="Q31" s="2">
        <f t="shared" si="3"/>
        <v>17533.026999999998</v>
      </c>
    </row>
    <row r="32" spans="1:21" ht="12.75" customHeight="1">
      <c r="A32" s="45" t="s">
        <v>99</v>
      </c>
      <c r="B32" s="47" t="s">
        <v>40</v>
      </c>
      <c r="C32" s="46">
        <v>33319.955000000002</v>
      </c>
      <c r="D32" s="46" t="s">
        <v>55</v>
      </c>
      <c r="E32">
        <f t="shared" si="0"/>
        <v>1095.9983330183072</v>
      </c>
      <c r="F32">
        <f t="shared" si="1"/>
        <v>1096</v>
      </c>
      <c r="G32">
        <f t="shared" si="4"/>
        <v>-7.3199999969801866E-3</v>
      </c>
      <c r="I32">
        <f>+G32</f>
        <v>-7.3199999969801866E-3</v>
      </c>
      <c r="O32">
        <f t="shared" ca="1" si="2"/>
        <v>8.6408389339777764E-2</v>
      </c>
      <c r="Q32" s="2">
        <f t="shared" si="3"/>
        <v>18301.455000000002</v>
      </c>
    </row>
    <row r="33" spans="1:32" ht="12.75" customHeight="1">
      <c r="A33" s="45" t="s">
        <v>104</v>
      </c>
      <c r="B33" s="47" t="s">
        <v>40</v>
      </c>
      <c r="C33" s="46">
        <v>37645.33</v>
      </c>
      <c r="D33" s="46" t="s">
        <v>55</v>
      </c>
      <c r="E33">
        <f t="shared" si="0"/>
        <v>2081.0148548109046</v>
      </c>
      <c r="F33">
        <f t="shared" si="1"/>
        <v>2081</v>
      </c>
      <c r="G33">
        <f t="shared" si="4"/>
        <v>6.5230000000155997E-2</v>
      </c>
      <c r="I33">
        <f>+G33</f>
        <v>6.5230000000155997E-2</v>
      </c>
      <c r="O33">
        <f t="shared" ca="1" si="2"/>
        <v>0.16461584508236329</v>
      </c>
      <c r="Q33" s="2">
        <f t="shared" si="3"/>
        <v>22626.83</v>
      </c>
    </row>
    <row r="34" spans="1:32" ht="12.75" customHeight="1">
      <c r="A34" t="s">
        <v>29</v>
      </c>
      <c r="C34" s="10">
        <v>37961.43</v>
      </c>
      <c r="D34" s="9"/>
      <c r="E34">
        <f t="shared" si="0"/>
        <v>2153.000225452442</v>
      </c>
      <c r="F34">
        <f t="shared" si="1"/>
        <v>2153</v>
      </c>
      <c r="G34">
        <f t="shared" si="4"/>
        <v>9.9000000045634806E-4</v>
      </c>
      <c r="H34">
        <f>+G34</f>
        <v>9.9000000045634806E-4</v>
      </c>
      <c r="N34">
        <f>+G34</f>
        <v>9.9000000045634806E-4</v>
      </c>
      <c r="O34">
        <f t="shared" ca="1" si="2"/>
        <v>0.1703325322026335</v>
      </c>
      <c r="Q34" s="2">
        <f t="shared" si="3"/>
        <v>22942.93</v>
      </c>
      <c r="AB34" t="s">
        <v>28</v>
      </c>
      <c r="AF34" t="s">
        <v>30</v>
      </c>
    </row>
    <row r="35" spans="1:32" ht="12.75" customHeight="1">
      <c r="A35" t="s">
        <v>29</v>
      </c>
      <c r="C35" s="10">
        <v>38374.339999999997</v>
      </c>
      <c r="D35" s="9"/>
      <c r="E35">
        <f t="shared" si="0"/>
        <v>2247.0321121705592</v>
      </c>
      <c r="F35">
        <f t="shared" si="1"/>
        <v>2247</v>
      </c>
      <c r="G35">
        <f t="shared" si="4"/>
        <v>0.14100999999209307</v>
      </c>
      <c r="H35">
        <f>+G35</f>
        <v>0.14100999999209307</v>
      </c>
      <c r="N35">
        <f>+G35</f>
        <v>0.14100999999209307</v>
      </c>
      <c r="O35">
        <f t="shared" ca="1" si="2"/>
        <v>0.17779598483187517</v>
      </c>
      <c r="Q35" s="2">
        <f t="shared" si="3"/>
        <v>23355.839999999997</v>
      </c>
      <c r="AB35" t="s">
        <v>28</v>
      </c>
      <c r="AF35" t="s">
        <v>30</v>
      </c>
    </row>
    <row r="36" spans="1:32" ht="12.75" customHeight="1">
      <c r="A36" t="s">
        <v>29</v>
      </c>
      <c r="C36" s="10">
        <v>39028.51</v>
      </c>
      <c r="D36" s="9"/>
      <c r="E36">
        <f t="shared" si="0"/>
        <v>2396.0060758294489</v>
      </c>
      <c r="F36">
        <f t="shared" si="1"/>
        <v>2396</v>
      </c>
      <c r="G36">
        <f t="shared" si="4"/>
        <v>2.6680000002670567E-2</v>
      </c>
      <c r="H36">
        <f>+G36</f>
        <v>2.6680000002670567E-2</v>
      </c>
      <c r="N36">
        <f>+G36</f>
        <v>2.6680000002670567E-2</v>
      </c>
      <c r="O36">
        <f t="shared" ca="1" si="2"/>
        <v>0.18962635123354546</v>
      </c>
      <c r="Q36" s="2">
        <f t="shared" si="3"/>
        <v>24010.010000000002</v>
      </c>
      <c r="AB36" t="s">
        <v>28</v>
      </c>
      <c r="AF36" t="s">
        <v>30</v>
      </c>
    </row>
    <row r="37" spans="1:32" ht="12.75" customHeight="1">
      <c r="A37" t="s">
        <v>29</v>
      </c>
      <c r="C37" s="10">
        <v>42304.56</v>
      </c>
      <c r="D37" s="9"/>
      <c r="E37">
        <f t="shared" si="0"/>
        <v>3142.0600887690516</v>
      </c>
      <c r="F37">
        <f t="shared" si="1"/>
        <v>3142</v>
      </c>
      <c r="G37">
        <f t="shared" si="4"/>
        <v>0.26385999999911292</v>
      </c>
      <c r="H37">
        <f>+G37</f>
        <v>0.26385999999911292</v>
      </c>
      <c r="N37">
        <f>+G37</f>
        <v>0.26385999999911292</v>
      </c>
      <c r="O37">
        <f t="shared" ca="1" si="2"/>
        <v>0.24885758167412292</v>
      </c>
      <c r="Q37" s="2">
        <f t="shared" si="3"/>
        <v>27286.059999999998</v>
      </c>
      <c r="AB37" t="s">
        <v>28</v>
      </c>
      <c r="AF37" t="s">
        <v>30</v>
      </c>
    </row>
    <row r="38" spans="1:32" ht="12.75" customHeight="1">
      <c r="A38" t="s">
        <v>34</v>
      </c>
      <c r="C38" s="10">
        <v>47512.51</v>
      </c>
      <c r="D38" s="9"/>
      <c r="E38">
        <f t="shared" si="0"/>
        <v>4328.0651853606214</v>
      </c>
      <c r="F38">
        <f t="shared" si="1"/>
        <v>4328</v>
      </c>
      <c r="G38">
        <f t="shared" si="4"/>
        <v>0.28624000000127126</v>
      </c>
      <c r="I38">
        <f>+G38</f>
        <v>0.28624000000127126</v>
      </c>
      <c r="O38">
        <f t="shared" ca="1" si="2"/>
        <v>0.34302412229412949</v>
      </c>
      <c r="Q38" s="2">
        <f t="shared" si="3"/>
        <v>32494.010000000002</v>
      </c>
      <c r="AA38" t="s">
        <v>31</v>
      </c>
      <c r="AB38" t="s">
        <v>32</v>
      </c>
      <c r="AC38">
        <v>22</v>
      </c>
      <c r="AD38" t="s">
        <v>33</v>
      </c>
      <c r="AF38" t="s">
        <v>35</v>
      </c>
    </row>
    <row r="39" spans="1:32" ht="12.75" customHeight="1">
      <c r="A39" s="12" t="s">
        <v>39</v>
      </c>
      <c r="B39" s="13" t="s">
        <v>40</v>
      </c>
      <c r="C39" s="14">
        <v>54033.573499999999</v>
      </c>
      <c r="D39" s="14">
        <v>8.0000000000000004E-4</v>
      </c>
      <c r="E39">
        <f t="shared" si="0"/>
        <v>5813.1052771812519</v>
      </c>
      <c r="F39">
        <f t="shared" si="1"/>
        <v>5813</v>
      </c>
      <c r="G39">
        <f t="shared" si="4"/>
        <v>0.4622899999958463</v>
      </c>
      <c r="K39">
        <f>+G39</f>
        <v>0.4622899999958463</v>
      </c>
      <c r="O39">
        <f t="shared" ca="1" si="2"/>
        <v>0.46093079414970251</v>
      </c>
      <c r="Q39" s="2">
        <f t="shared" si="3"/>
        <v>39015.073499999999</v>
      </c>
    </row>
    <row r="40" spans="1:32" ht="12.75" customHeight="1">
      <c r="A40" s="45" t="s">
        <v>134</v>
      </c>
      <c r="B40" s="47" t="s">
        <v>144</v>
      </c>
      <c r="C40" s="46">
        <v>56270.997900000002</v>
      </c>
      <c r="D40" s="46" t="s">
        <v>55</v>
      </c>
      <c r="E40">
        <f t="shared" si="0"/>
        <v>6322.633352842181</v>
      </c>
      <c r="F40">
        <f t="shared" si="1"/>
        <v>6322.5</v>
      </c>
      <c r="G40">
        <f t="shared" si="4"/>
        <v>0.58557500000461005</v>
      </c>
      <c r="I40">
        <f>+G40</f>
        <v>0.58557500000461005</v>
      </c>
      <c r="O40">
        <f t="shared" ca="1" si="2"/>
        <v>0.50138429536883689</v>
      </c>
      <c r="Q40" s="2">
        <f t="shared" si="3"/>
        <v>41252.497900000002</v>
      </c>
    </row>
    <row r="41" spans="1:32" ht="12.75" customHeight="1">
      <c r="A41" s="45" t="s">
        <v>134</v>
      </c>
      <c r="B41" s="47" t="s">
        <v>144</v>
      </c>
      <c r="C41" s="46">
        <v>56270.998500000002</v>
      </c>
      <c r="D41" s="46" t="s">
        <v>55</v>
      </c>
      <c r="E41">
        <f t="shared" si="0"/>
        <v>6322.6334894800248</v>
      </c>
      <c r="F41">
        <f t="shared" si="1"/>
        <v>6322.5</v>
      </c>
      <c r="G41">
        <f t="shared" si="4"/>
        <v>0.58617500000400469</v>
      </c>
      <c r="I41">
        <f>+G41</f>
        <v>0.58617500000400469</v>
      </c>
      <c r="O41">
        <f t="shared" ca="1" si="2"/>
        <v>0.50138429536883689</v>
      </c>
      <c r="Q41" s="2">
        <f t="shared" si="3"/>
        <v>41252.498500000002</v>
      </c>
    </row>
    <row r="42" spans="1:32" ht="12.75" customHeight="1">
      <c r="A42" s="45" t="s">
        <v>143</v>
      </c>
      <c r="B42" s="47" t="s">
        <v>144</v>
      </c>
      <c r="C42" s="46">
        <v>56609.095699999998</v>
      </c>
      <c r="D42" s="46" t="s">
        <v>55</v>
      </c>
      <c r="E42">
        <f t="shared" si="0"/>
        <v>6399.6282767462881</v>
      </c>
      <c r="F42">
        <f t="shared" si="1"/>
        <v>6399.5</v>
      </c>
      <c r="G42">
        <f t="shared" si="4"/>
        <v>0.56328499999654014</v>
      </c>
      <c r="I42">
        <f>+G42</f>
        <v>0.56328499999654014</v>
      </c>
      <c r="O42">
        <f t="shared" ca="1" si="2"/>
        <v>0.50749797465023694</v>
      </c>
      <c r="Q42" s="2">
        <f t="shared" si="3"/>
        <v>41590.595699999998</v>
      </c>
    </row>
    <row r="43" spans="1:32" ht="12.75" customHeight="1">
      <c r="A43" s="49" t="s">
        <v>146</v>
      </c>
      <c r="B43" s="50" t="s">
        <v>40</v>
      </c>
      <c r="C43" s="51">
        <v>59559.977299999911</v>
      </c>
      <c r="D43" s="49" t="s">
        <v>142</v>
      </c>
      <c r="E43">
        <f t="shared" ref="E43" si="5">+(C43-C$7)/C$8</f>
        <v>7071.6317746750665</v>
      </c>
      <c r="F43">
        <f t="shared" ref="F43" si="6">ROUND(2*E43,0)/2</f>
        <v>7071.5</v>
      </c>
      <c r="G43">
        <f t="shared" ref="G43" si="7">+C43-(C$7+F43*C$8)</f>
        <v>0.57864499991410412</v>
      </c>
      <c r="K43">
        <f>+G43</f>
        <v>0.57864499991410412</v>
      </c>
      <c r="O43">
        <f t="shared" ref="O43" ca="1" si="8">+C$11+C$12*$F43</f>
        <v>0.56085372110609222</v>
      </c>
      <c r="Q43" s="2">
        <f t="shared" ref="Q43" si="9">+C43-15018.5</f>
        <v>44541.477299999911</v>
      </c>
    </row>
    <row r="44" spans="1:32" ht="12.75" customHeight="1">
      <c r="C44" s="9"/>
      <c r="D44" s="9"/>
    </row>
    <row r="45" spans="1:32" ht="12.75" customHeight="1">
      <c r="C45" s="9"/>
      <c r="D45" s="9"/>
    </row>
    <row r="46" spans="1:32" ht="12.75" customHeight="1">
      <c r="C46" s="9"/>
      <c r="D46" s="9"/>
    </row>
    <row r="47" spans="1:32" ht="12.75" customHeight="1">
      <c r="C47" s="9"/>
      <c r="D47" s="9"/>
    </row>
    <row r="48" spans="1:32" ht="12.75" customHeight="1">
      <c r="C48" s="9"/>
      <c r="D48" s="9"/>
    </row>
    <row r="49" spans="3:4" ht="12.75" customHeight="1">
      <c r="C49" s="9"/>
      <c r="D49" s="9"/>
    </row>
    <row r="50" spans="3:4" ht="12.75" customHeight="1">
      <c r="C50" s="9"/>
      <c r="D50" s="9"/>
    </row>
    <row r="51" spans="3:4" ht="12.75" customHeight="1">
      <c r="C51" s="9"/>
      <c r="D51" s="9"/>
    </row>
    <row r="52" spans="3:4" ht="12.75" customHeight="1">
      <c r="C52" s="9"/>
      <c r="D52" s="9"/>
    </row>
    <row r="53" spans="3:4" ht="12.75" customHeight="1">
      <c r="C53" s="9"/>
      <c r="D53" s="9"/>
    </row>
    <row r="54" spans="3:4" ht="12.75" customHeight="1">
      <c r="C54" s="9"/>
      <c r="D54" s="9"/>
    </row>
    <row r="55" spans="3:4" ht="12.75" customHeight="1">
      <c r="C55" s="9"/>
      <c r="D55" s="9"/>
    </row>
    <row r="56" spans="3:4" ht="12.75" customHeight="1">
      <c r="C56" s="9"/>
      <c r="D56" s="9"/>
    </row>
    <row r="57" spans="3:4" ht="12.75" customHeight="1">
      <c r="C57" s="9"/>
      <c r="D57" s="9"/>
    </row>
    <row r="58" spans="3:4" ht="12.75" customHeight="1">
      <c r="C58" s="9"/>
      <c r="D58" s="9"/>
    </row>
    <row r="59" spans="3:4" ht="12.75" customHeight="1">
      <c r="C59" s="9"/>
      <c r="D59" s="9"/>
    </row>
    <row r="60" spans="3:4" ht="12.75" customHeight="1">
      <c r="C60" s="9"/>
      <c r="D60" s="9"/>
    </row>
    <row r="61" spans="3:4" ht="12.75" customHeight="1">
      <c r="C61" s="9"/>
      <c r="D61" s="9"/>
    </row>
    <row r="62" spans="3:4" ht="12.75" customHeight="1">
      <c r="C62" s="9"/>
      <c r="D62" s="9"/>
    </row>
    <row r="63" spans="3:4" ht="12.75" customHeight="1">
      <c r="C63" s="9"/>
      <c r="D63" s="9"/>
    </row>
    <row r="64" spans="3:4" ht="12.75" customHeight="1">
      <c r="C64" s="9"/>
      <c r="D64" s="9"/>
    </row>
    <row r="65" spans="3:4" ht="12.75" customHeight="1">
      <c r="C65" s="9"/>
      <c r="D65" s="9"/>
    </row>
    <row r="66" spans="3:4" ht="12.75" customHeight="1">
      <c r="C66" s="9"/>
      <c r="D66" s="9"/>
    </row>
    <row r="67" spans="3:4" ht="12.75" customHeight="1">
      <c r="C67" s="9"/>
      <c r="D67" s="9"/>
    </row>
    <row r="68" spans="3:4" ht="12.75" customHeight="1">
      <c r="C68" s="9"/>
      <c r="D68" s="9"/>
    </row>
    <row r="69" spans="3:4" ht="12.75" customHeight="1">
      <c r="C69" s="9"/>
      <c r="D69" s="9"/>
    </row>
    <row r="70" spans="3:4" ht="12.75" customHeight="1">
      <c r="C70" s="9"/>
      <c r="D70" s="9"/>
    </row>
    <row r="71" spans="3:4" ht="12.75" customHeight="1">
      <c r="C71" s="9"/>
      <c r="D71" s="9"/>
    </row>
    <row r="72" spans="3:4" ht="12.75" customHeight="1">
      <c r="C72" s="9"/>
      <c r="D72" s="9"/>
    </row>
    <row r="73" spans="3:4" ht="12.75" customHeight="1">
      <c r="C73" s="9"/>
      <c r="D73" s="9"/>
    </row>
    <row r="74" spans="3:4" ht="12.75" customHeight="1">
      <c r="C74" s="9"/>
      <c r="D74" s="9"/>
    </row>
    <row r="75" spans="3:4" ht="12.75" customHeight="1">
      <c r="C75" s="9"/>
      <c r="D75" s="9"/>
    </row>
    <row r="76" spans="3:4" ht="12.75" customHeight="1">
      <c r="C76" s="9"/>
      <c r="D76" s="9"/>
    </row>
    <row r="77" spans="3:4" ht="12.75" customHeight="1">
      <c r="C77" s="9"/>
      <c r="D77" s="9"/>
    </row>
    <row r="78" spans="3:4" ht="12.75" customHeight="1">
      <c r="C78" s="9"/>
      <c r="D78" s="9"/>
    </row>
    <row r="79" spans="3:4" ht="12.75" customHeight="1">
      <c r="C79" s="9"/>
      <c r="D79" s="9"/>
    </row>
    <row r="80" spans="3:4" ht="12.75" customHeight="1">
      <c r="C80" s="9"/>
      <c r="D80" s="9"/>
    </row>
    <row r="81" spans="3:4" ht="12.75" customHeight="1">
      <c r="C81" s="9"/>
      <c r="D81" s="9"/>
    </row>
    <row r="82" spans="3:4" ht="12.75" customHeight="1">
      <c r="C82" s="9"/>
      <c r="D82" s="9"/>
    </row>
    <row r="83" spans="3:4" ht="12.75" customHeight="1">
      <c r="C83" s="9"/>
      <c r="D83" s="9"/>
    </row>
    <row r="84" spans="3:4" ht="12.75" customHeight="1">
      <c r="C84" s="9"/>
      <c r="D84" s="9"/>
    </row>
    <row r="85" spans="3:4" ht="12.75" customHeight="1">
      <c r="C85" s="9"/>
      <c r="D85" s="9"/>
    </row>
    <row r="86" spans="3:4" ht="12.75" customHeight="1">
      <c r="C86" s="9"/>
      <c r="D86" s="9"/>
    </row>
    <row r="87" spans="3:4" ht="12.75" customHeight="1">
      <c r="C87" s="9"/>
      <c r="D87" s="9"/>
    </row>
    <row r="88" spans="3:4" ht="12.75" customHeight="1">
      <c r="C88" s="9"/>
      <c r="D88" s="9"/>
    </row>
    <row r="89" spans="3:4" ht="12.75" customHeight="1">
      <c r="C89" s="9"/>
      <c r="D89" s="9"/>
    </row>
    <row r="90" spans="3:4" ht="12.75" customHeight="1">
      <c r="C90" s="9"/>
      <c r="D90" s="9"/>
    </row>
    <row r="91" spans="3:4" ht="12.75" customHeight="1">
      <c r="C91" s="9"/>
      <c r="D91" s="9"/>
    </row>
    <row r="92" spans="3:4" ht="12.75" customHeight="1">
      <c r="C92" s="9"/>
      <c r="D92" s="9"/>
    </row>
    <row r="93" spans="3:4" ht="12.75" customHeight="1">
      <c r="C93" s="9"/>
      <c r="D93" s="9"/>
    </row>
    <row r="94" spans="3:4" ht="12.75" customHeight="1">
      <c r="C94" s="9"/>
      <c r="D94" s="9"/>
    </row>
    <row r="95" spans="3:4" ht="12.75" customHeight="1">
      <c r="C95" s="9"/>
      <c r="D95" s="9"/>
    </row>
    <row r="96" spans="3:4" ht="12.75" customHeight="1">
      <c r="C96" s="9"/>
      <c r="D96" s="9"/>
    </row>
    <row r="97" spans="3:4" ht="12.75" customHeight="1">
      <c r="C97" s="9"/>
      <c r="D97" s="9"/>
    </row>
    <row r="98" spans="3:4" ht="12.75" customHeight="1">
      <c r="C98" s="9"/>
      <c r="D98" s="9"/>
    </row>
    <row r="99" spans="3:4" ht="12.75" customHeight="1">
      <c r="C99" s="9"/>
      <c r="D99" s="9"/>
    </row>
    <row r="100" spans="3:4" ht="12.75" customHeight="1">
      <c r="C100" s="9"/>
      <c r="D100" s="9"/>
    </row>
    <row r="101" spans="3:4" ht="12.75" customHeight="1">
      <c r="C101" s="9"/>
      <c r="D101" s="9"/>
    </row>
    <row r="102" spans="3:4" ht="12.75" customHeight="1">
      <c r="C102" s="9"/>
      <c r="D102" s="9"/>
    </row>
    <row r="103" spans="3:4" ht="12.75" customHeight="1">
      <c r="C103" s="9"/>
      <c r="D103" s="9"/>
    </row>
    <row r="104" spans="3:4" ht="12.75" customHeight="1">
      <c r="C104" s="9"/>
      <c r="D104" s="9"/>
    </row>
    <row r="105" spans="3:4" ht="12.75" customHeight="1">
      <c r="C105" s="9"/>
      <c r="D105" s="9"/>
    </row>
    <row r="106" spans="3:4" ht="12.75" customHeight="1">
      <c r="C106" s="9"/>
      <c r="D106" s="9"/>
    </row>
    <row r="107" spans="3:4" ht="12.75" customHeight="1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8" workbookViewId="0">
      <selection activeCell="A17" sqref="A17:D31"/>
    </sheetView>
  </sheetViews>
  <sheetFormatPr defaultRowHeight="12.75"/>
  <cols>
    <col min="1" max="1" width="19.7109375" style="9" customWidth="1"/>
    <col min="2" max="2" width="4.42578125" style="16" customWidth="1"/>
    <col min="3" max="3" width="12.7109375" style="9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2" t="s">
        <v>46</v>
      </c>
      <c r="I1" s="33" t="s">
        <v>47</v>
      </c>
      <c r="J1" s="34" t="s">
        <v>48</v>
      </c>
    </row>
    <row r="2" spans="1:16">
      <c r="I2" s="35" t="s">
        <v>49</v>
      </c>
      <c r="J2" s="36" t="s">
        <v>50</v>
      </c>
    </row>
    <row r="3" spans="1:16">
      <c r="A3" s="37" t="s">
        <v>51</v>
      </c>
      <c r="I3" s="35" t="s">
        <v>52</v>
      </c>
      <c r="J3" s="36" t="s">
        <v>28</v>
      </c>
    </row>
    <row r="4" spans="1:16">
      <c r="I4" s="35" t="s">
        <v>53</v>
      </c>
      <c r="J4" s="36" t="s">
        <v>28</v>
      </c>
    </row>
    <row r="5" spans="1:16" ht="13.5" thickBot="1">
      <c r="I5" s="38" t="s">
        <v>54</v>
      </c>
      <c r="J5" s="39" t="s">
        <v>55</v>
      </c>
    </row>
    <row r="10" spans="1:16" ht="13.5" thickBot="1"/>
    <row r="11" spans="1:16" ht="12.75" customHeight="1" thickBot="1">
      <c r="A11" s="9" t="str">
        <f t="shared" ref="A11:A31" si="0">P11</f>
        <v> AC 1199.7 </v>
      </c>
      <c r="B11" s="19" t="str">
        <f t="shared" ref="B11:B31" si="1">IF(H11=INT(H11),"I","II")</f>
        <v>I</v>
      </c>
      <c r="C11" s="9">
        <f t="shared" ref="C11:C31" si="2">1*G11</f>
        <v>37961.43</v>
      </c>
      <c r="D11" s="16" t="str">
        <f t="shared" ref="D11:D31" si="3">VLOOKUP(F11,I$1:J$5,2,FALSE)</f>
        <v>vis</v>
      </c>
      <c r="E11" s="40">
        <f>VLOOKUP(C11,Active!C$21:E$973,3,FALSE)</f>
        <v>2153.000225452442</v>
      </c>
      <c r="F11" s="19" t="s">
        <v>54</v>
      </c>
      <c r="G11" s="16" t="str">
        <f t="shared" ref="G11:G31" si="4">MID(I11,3,LEN(I11)-3)</f>
        <v>37961.43</v>
      </c>
      <c r="H11" s="9">
        <f t="shared" ref="H11:H31" si="5">1*K11</f>
        <v>2153</v>
      </c>
      <c r="I11" s="41" t="s">
        <v>105</v>
      </c>
      <c r="J11" s="42" t="s">
        <v>106</v>
      </c>
      <c r="K11" s="41">
        <v>2153</v>
      </c>
      <c r="L11" s="41" t="s">
        <v>107</v>
      </c>
      <c r="M11" s="42" t="s">
        <v>60</v>
      </c>
      <c r="N11" s="42"/>
      <c r="O11" s="43" t="s">
        <v>103</v>
      </c>
      <c r="P11" s="43" t="s">
        <v>104</v>
      </c>
    </row>
    <row r="12" spans="1:16" ht="12.75" customHeight="1" thickBot="1">
      <c r="A12" s="9" t="str">
        <f t="shared" si="0"/>
        <v> AC 1199.7 </v>
      </c>
      <c r="B12" s="19" t="str">
        <f t="shared" si="1"/>
        <v>I</v>
      </c>
      <c r="C12" s="9">
        <f t="shared" si="2"/>
        <v>38374.339999999997</v>
      </c>
      <c r="D12" s="16" t="str">
        <f t="shared" si="3"/>
        <v>vis</v>
      </c>
      <c r="E12" s="40">
        <f>VLOOKUP(C12,Active!C$21:E$973,3,FALSE)</f>
        <v>2247.0321121705592</v>
      </c>
      <c r="F12" s="19" t="s">
        <v>54</v>
      </c>
      <c r="G12" s="16" t="str">
        <f t="shared" si="4"/>
        <v>38374.34</v>
      </c>
      <c r="H12" s="9">
        <f t="shared" si="5"/>
        <v>2247</v>
      </c>
      <c r="I12" s="41" t="s">
        <v>108</v>
      </c>
      <c r="J12" s="42" t="s">
        <v>109</v>
      </c>
      <c r="K12" s="41">
        <v>2247</v>
      </c>
      <c r="L12" s="41" t="s">
        <v>110</v>
      </c>
      <c r="M12" s="42" t="s">
        <v>60</v>
      </c>
      <c r="N12" s="42"/>
      <c r="O12" s="43" t="s">
        <v>103</v>
      </c>
      <c r="P12" s="43" t="s">
        <v>104</v>
      </c>
    </row>
    <row r="13" spans="1:16" ht="12.75" customHeight="1" thickBot="1">
      <c r="A13" s="9" t="str">
        <f t="shared" si="0"/>
        <v> AC 1199.7 </v>
      </c>
      <c r="B13" s="19" t="str">
        <f t="shared" si="1"/>
        <v>I</v>
      </c>
      <c r="C13" s="9">
        <f t="shared" si="2"/>
        <v>39028.51</v>
      </c>
      <c r="D13" s="16" t="str">
        <f t="shared" si="3"/>
        <v>vis</v>
      </c>
      <c r="E13" s="40">
        <f>VLOOKUP(C13,Active!C$21:E$973,3,FALSE)</f>
        <v>2396.0060758294489</v>
      </c>
      <c r="F13" s="19" t="s">
        <v>54</v>
      </c>
      <c r="G13" s="16" t="str">
        <f t="shared" si="4"/>
        <v>39028.51</v>
      </c>
      <c r="H13" s="9">
        <f t="shared" si="5"/>
        <v>2396</v>
      </c>
      <c r="I13" s="41" t="s">
        <v>111</v>
      </c>
      <c r="J13" s="42" t="s">
        <v>112</v>
      </c>
      <c r="K13" s="41">
        <v>2396</v>
      </c>
      <c r="L13" s="41" t="s">
        <v>113</v>
      </c>
      <c r="M13" s="42" t="s">
        <v>60</v>
      </c>
      <c r="N13" s="42"/>
      <c r="O13" s="43" t="s">
        <v>103</v>
      </c>
      <c r="P13" s="43" t="s">
        <v>104</v>
      </c>
    </row>
    <row r="14" spans="1:16" ht="12.75" customHeight="1" thickBot="1">
      <c r="A14" s="9" t="str">
        <f t="shared" si="0"/>
        <v> AC 1199.7 </v>
      </c>
      <c r="B14" s="19" t="str">
        <f t="shared" si="1"/>
        <v>I</v>
      </c>
      <c r="C14" s="9">
        <f t="shared" si="2"/>
        <v>42304.56</v>
      </c>
      <c r="D14" s="16" t="str">
        <f t="shared" si="3"/>
        <v>vis</v>
      </c>
      <c r="E14" s="40">
        <f>VLOOKUP(C14,Active!C$21:E$973,3,FALSE)</f>
        <v>3142.0600887690516</v>
      </c>
      <c r="F14" s="19" t="s">
        <v>54</v>
      </c>
      <c r="G14" s="16" t="str">
        <f t="shared" si="4"/>
        <v>42304.56</v>
      </c>
      <c r="H14" s="9">
        <f t="shared" si="5"/>
        <v>3142</v>
      </c>
      <c r="I14" s="41" t="s">
        <v>114</v>
      </c>
      <c r="J14" s="42" t="s">
        <v>115</v>
      </c>
      <c r="K14" s="41">
        <v>3142</v>
      </c>
      <c r="L14" s="41" t="s">
        <v>116</v>
      </c>
      <c r="M14" s="42" t="s">
        <v>60</v>
      </c>
      <c r="N14" s="42"/>
      <c r="O14" s="43" t="s">
        <v>103</v>
      </c>
      <c r="P14" s="43" t="s">
        <v>104</v>
      </c>
    </row>
    <row r="15" spans="1:16" ht="12.75" customHeight="1" thickBot="1">
      <c r="A15" s="9" t="str">
        <f t="shared" si="0"/>
        <v> BBS 91 </v>
      </c>
      <c r="B15" s="19" t="str">
        <f t="shared" si="1"/>
        <v>I</v>
      </c>
      <c r="C15" s="9">
        <f t="shared" si="2"/>
        <v>47512.51</v>
      </c>
      <c r="D15" s="16" t="str">
        <f t="shared" si="3"/>
        <v>vis</v>
      </c>
      <c r="E15" s="40">
        <f>VLOOKUP(C15,Active!C$21:E$973,3,FALSE)</f>
        <v>4328.0651853606214</v>
      </c>
      <c r="F15" s="19" t="s">
        <v>54</v>
      </c>
      <c r="G15" s="16" t="str">
        <f t="shared" si="4"/>
        <v>47512.51</v>
      </c>
      <c r="H15" s="9">
        <f t="shared" si="5"/>
        <v>4328</v>
      </c>
      <c r="I15" s="41" t="s">
        <v>117</v>
      </c>
      <c r="J15" s="42" t="s">
        <v>118</v>
      </c>
      <c r="K15" s="41">
        <v>4328</v>
      </c>
      <c r="L15" s="41" t="s">
        <v>119</v>
      </c>
      <c r="M15" s="42" t="s">
        <v>84</v>
      </c>
      <c r="N15" s="42"/>
      <c r="O15" s="43" t="s">
        <v>120</v>
      </c>
      <c r="P15" s="43" t="s">
        <v>121</v>
      </c>
    </row>
    <row r="16" spans="1:16" ht="12.75" customHeight="1" thickBot="1">
      <c r="A16" s="9" t="str">
        <f t="shared" si="0"/>
        <v>BAVM 201 </v>
      </c>
      <c r="B16" s="19" t="str">
        <f t="shared" si="1"/>
        <v>I</v>
      </c>
      <c r="C16" s="9">
        <f t="shared" si="2"/>
        <v>54033.573499999999</v>
      </c>
      <c r="D16" s="16" t="str">
        <f t="shared" si="3"/>
        <v>vis</v>
      </c>
      <c r="E16" s="40">
        <f>VLOOKUP(C16,Active!C$21:E$973,3,FALSE)</f>
        <v>5813.1052771812519</v>
      </c>
      <c r="F16" s="19" t="s">
        <v>54</v>
      </c>
      <c r="G16" s="16" t="str">
        <f t="shared" si="4"/>
        <v>54033.5735</v>
      </c>
      <c r="H16" s="9">
        <f t="shared" si="5"/>
        <v>5813</v>
      </c>
      <c r="I16" s="41" t="s">
        <v>122</v>
      </c>
      <c r="J16" s="42" t="s">
        <v>123</v>
      </c>
      <c r="K16" s="41">
        <v>5813</v>
      </c>
      <c r="L16" s="41" t="s">
        <v>124</v>
      </c>
      <c r="M16" s="42" t="s">
        <v>125</v>
      </c>
      <c r="N16" s="42" t="s">
        <v>126</v>
      </c>
      <c r="O16" s="43" t="s">
        <v>127</v>
      </c>
      <c r="P16" s="44" t="s">
        <v>128</v>
      </c>
    </row>
    <row r="17" spans="1:16" ht="12.75" customHeight="1" thickBot="1">
      <c r="A17" s="9" t="str">
        <f t="shared" si="0"/>
        <v> AN 251.318 </v>
      </c>
      <c r="B17" s="19" t="str">
        <f t="shared" si="1"/>
        <v>I</v>
      </c>
      <c r="C17" s="9">
        <f t="shared" si="2"/>
        <v>25621.31</v>
      </c>
      <c r="D17" s="16" t="str">
        <f t="shared" si="3"/>
        <v>vis</v>
      </c>
      <c r="E17" s="40">
        <f>VLOOKUP(C17,Active!C$21:E$973,3,FALSE)</f>
        <v>-657.21208698365137</v>
      </c>
      <c r="F17" s="19" t="s">
        <v>54</v>
      </c>
      <c r="G17" s="16" t="str">
        <f t="shared" si="4"/>
        <v>25621.31</v>
      </c>
      <c r="H17" s="9">
        <f t="shared" si="5"/>
        <v>-657</v>
      </c>
      <c r="I17" s="41" t="s">
        <v>57</v>
      </c>
      <c r="J17" s="42" t="s">
        <v>58</v>
      </c>
      <c r="K17" s="41">
        <v>-657</v>
      </c>
      <c r="L17" s="41" t="s">
        <v>59</v>
      </c>
      <c r="M17" s="42" t="s">
        <v>60</v>
      </c>
      <c r="N17" s="42"/>
      <c r="O17" s="43" t="s">
        <v>61</v>
      </c>
      <c r="P17" s="43" t="s">
        <v>62</v>
      </c>
    </row>
    <row r="18" spans="1:16" ht="12.75" customHeight="1" thickBot="1">
      <c r="A18" s="9" t="str">
        <f t="shared" si="0"/>
        <v> AN 251.318 </v>
      </c>
      <c r="B18" s="19" t="str">
        <f t="shared" si="1"/>
        <v>I</v>
      </c>
      <c r="C18" s="9">
        <f t="shared" si="2"/>
        <v>26351.279999999999</v>
      </c>
      <c r="D18" s="16" t="str">
        <f t="shared" si="3"/>
        <v>vis</v>
      </c>
      <c r="E18" s="40">
        <f>VLOOKUP(C18,Active!C$21:E$973,3,FALSE)</f>
        <v>-490.97620907411988</v>
      </c>
      <c r="F18" s="19" t="s">
        <v>54</v>
      </c>
      <c r="G18" s="16" t="str">
        <f t="shared" si="4"/>
        <v>26351.28</v>
      </c>
      <c r="H18" s="9">
        <f t="shared" si="5"/>
        <v>-491</v>
      </c>
      <c r="I18" s="41" t="s">
        <v>63</v>
      </c>
      <c r="J18" s="42" t="s">
        <v>64</v>
      </c>
      <c r="K18" s="41">
        <v>-491</v>
      </c>
      <c r="L18" s="41" t="s">
        <v>65</v>
      </c>
      <c r="M18" s="42" t="s">
        <v>60</v>
      </c>
      <c r="N18" s="42"/>
      <c r="O18" s="43" t="s">
        <v>61</v>
      </c>
      <c r="P18" s="43" t="s">
        <v>62</v>
      </c>
    </row>
    <row r="19" spans="1:16" ht="12.75" customHeight="1" thickBot="1">
      <c r="A19" s="9" t="str">
        <f t="shared" si="0"/>
        <v> AN 251.318 </v>
      </c>
      <c r="B19" s="19" t="str">
        <f t="shared" si="1"/>
        <v>I</v>
      </c>
      <c r="C19" s="9">
        <f t="shared" si="2"/>
        <v>26386.29</v>
      </c>
      <c r="D19" s="16" t="str">
        <f t="shared" si="3"/>
        <v>vis</v>
      </c>
      <c r="E19" s="40">
        <f>VLOOKUP(C19,Active!C$21:E$973,3,FALSE)</f>
        <v>-483.00339089582064</v>
      </c>
      <c r="F19" s="19" t="s">
        <v>54</v>
      </c>
      <c r="G19" s="16" t="str">
        <f t="shared" si="4"/>
        <v>26386.29</v>
      </c>
      <c r="H19" s="9">
        <f t="shared" si="5"/>
        <v>-483</v>
      </c>
      <c r="I19" s="41" t="s">
        <v>66</v>
      </c>
      <c r="J19" s="42" t="s">
        <v>67</v>
      </c>
      <c r="K19" s="41">
        <v>-483</v>
      </c>
      <c r="L19" s="41" t="s">
        <v>68</v>
      </c>
      <c r="M19" s="42" t="s">
        <v>60</v>
      </c>
      <c r="N19" s="42"/>
      <c r="O19" s="43" t="s">
        <v>61</v>
      </c>
      <c r="P19" s="43" t="s">
        <v>62</v>
      </c>
    </row>
    <row r="20" spans="1:16" ht="12.75" customHeight="1" thickBot="1">
      <c r="A20" s="9" t="str">
        <f t="shared" si="0"/>
        <v> AN 251.318 </v>
      </c>
      <c r="B20" s="19" t="str">
        <f t="shared" si="1"/>
        <v>I</v>
      </c>
      <c r="C20" s="9">
        <f t="shared" si="2"/>
        <v>26688.28</v>
      </c>
      <c r="D20" s="16" t="str">
        <f t="shared" si="3"/>
        <v>vis</v>
      </c>
      <c r="E20" s="40">
        <f>VLOOKUP(C20,Active!C$21:E$973,3,FALSE)</f>
        <v>-414.23128687798533</v>
      </c>
      <c r="F20" s="19" t="s">
        <v>54</v>
      </c>
      <c r="G20" s="16" t="str">
        <f t="shared" si="4"/>
        <v>26688.28</v>
      </c>
      <c r="H20" s="9">
        <f t="shared" si="5"/>
        <v>-414</v>
      </c>
      <c r="I20" s="41" t="s">
        <v>69</v>
      </c>
      <c r="J20" s="42" t="s">
        <v>70</v>
      </c>
      <c r="K20" s="41">
        <v>-414</v>
      </c>
      <c r="L20" s="41" t="s">
        <v>71</v>
      </c>
      <c r="M20" s="42" t="s">
        <v>60</v>
      </c>
      <c r="N20" s="42"/>
      <c r="O20" s="43" t="s">
        <v>61</v>
      </c>
      <c r="P20" s="43" t="s">
        <v>62</v>
      </c>
    </row>
    <row r="21" spans="1:16" ht="12.75" customHeight="1" thickBot="1">
      <c r="A21" s="9" t="str">
        <f t="shared" si="0"/>
        <v> AN 251.318 </v>
      </c>
      <c r="B21" s="19" t="str">
        <f t="shared" si="1"/>
        <v>I</v>
      </c>
      <c r="C21" s="9">
        <f t="shared" si="2"/>
        <v>27365.47</v>
      </c>
      <c r="D21" s="16" t="str">
        <f t="shared" si="3"/>
        <v>vis</v>
      </c>
      <c r="E21" s="40">
        <f>VLOOKUP(C21,Active!C$21:E$973,3,FALSE)</f>
        <v>-260.01498461685622</v>
      </c>
      <c r="F21" s="19" t="s">
        <v>54</v>
      </c>
      <c r="G21" s="16" t="str">
        <f t="shared" si="4"/>
        <v>27365.47</v>
      </c>
      <c r="H21" s="9">
        <f t="shared" si="5"/>
        <v>-260</v>
      </c>
      <c r="I21" s="41" t="s">
        <v>72</v>
      </c>
      <c r="J21" s="42" t="s">
        <v>73</v>
      </c>
      <c r="K21" s="41">
        <v>-260</v>
      </c>
      <c r="L21" s="41" t="s">
        <v>74</v>
      </c>
      <c r="M21" s="42" t="s">
        <v>60</v>
      </c>
      <c r="N21" s="42"/>
      <c r="O21" s="43" t="s">
        <v>61</v>
      </c>
      <c r="P21" s="43" t="s">
        <v>62</v>
      </c>
    </row>
    <row r="22" spans="1:16" ht="12.75" customHeight="1" thickBot="1">
      <c r="A22" s="9" t="str">
        <f t="shared" si="0"/>
        <v> AN 251.318 </v>
      </c>
      <c r="B22" s="19" t="str">
        <f t="shared" si="1"/>
        <v>I</v>
      </c>
      <c r="C22" s="9">
        <f t="shared" si="2"/>
        <v>27396.38</v>
      </c>
      <c r="D22" s="16" t="str">
        <f t="shared" si="3"/>
        <v>vis</v>
      </c>
      <c r="E22" s="40">
        <f>VLOOKUP(C22,Active!C$21:E$973,3,FALSE)</f>
        <v>-252.97585837032059</v>
      </c>
      <c r="F22" s="19" t="s">
        <v>54</v>
      </c>
      <c r="G22" s="16" t="str">
        <f t="shared" si="4"/>
        <v>27396.38</v>
      </c>
      <c r="H22" s="9">
        <f t="shared" si="5"/>
        <v>-253</v>
      </c>
      <c r="I22" s="41" t="s">
        <v>75</v>
      </c>
      <c r="J22" s="42" t="s">
        <v>76</v>
      </c>
      <c r="K22" s="41">
        <v>-253</v>
      </c>
      <c r="L22" s="41" t="s">
        <v>77</v>
      </c>
      <c r="M22" s="42" t="s">
        <v>60</v>
      </c>
      <c r="N22" s="42"/>
      <c r="O22" s="43" t="s">
        <v>61</v>
      </c>
      <c r="P22" s="43" t="s">
        <v>62</v>
      </c>
    </row>
    <row r="23" spans="1:16" ht="12.75" customHeight="1" thickBot="1">
      <c r="A23" s="9" t="str">
        <f t="shared" si="0"/>
        <v> AN 251.318 </v>
      </c>
      <c r="B23" s="19" t="str">
        <f t="shared" si="1"/>
        <v>I</v>
      </c>
      <c r="C23" s="9">
        <f t="shared" si="2"/>
        <v>27396.45</v>
      </c>
      <c r="D23" s="16" t="str">
        <f t="shared" si="3"/>
        <v>vis</v>
      </c>
      <c r="E23" s="40">
        <f>VLOOKUP(C23,Active!C$21:E$973,3,FALSE)</f>
        <v>-252.95991728855884</v>
      </c>
      <c r="F23" s="19" t="s">
        <v>54</v>
      </c>
      <c r="G23" s="16" t="str">
        <f t="shared" si="4"/>
        <v>27396.45</v>
      </c>
      <c r="H23" s="9">
        <f t="shared" si="5"/>
        <v>-253</v>
      </c>
      <c r="I23" s="41" t="s">
        <v>78</v>
      </c>
      <c r="J23" s="42" t="s">
        <v>79</v>
      </c>
      <c r="K23" s="41">
        <v>-253</v>
      </c>
      <c r="L23" s="41" t="s">
        <v>80</v>
      </c>
      <c r="M23" s="42" t="s">
        <v>60</v>
      </c>
      <c r="N23" s="42"/>
      <c r="O23" s="43" t="s">
        <v>61</v>
      </c>
      <c r="P23" s="43" t="s">
        <v>62</v>
      </c>
    </row>
    <row r="24" spans="1:16" ht="12.75" customHeight="1" thickBot="1">
      <c r="A24" s="9" t="str">
        <f t="shared" si="0"/>
        <v> AC 67.8 </v>
      </c>
      <c r="B24" s="19" t="str">
        <f t="shared" si="1"/>
        <v>I</v>
      </c>
      <c r="C24" s="9">
        <f t="shared" si="2"/>
        <v>28902.447</v>
      </c>
      <c r="D24" s="16" t="str">
        <f t="shared" si="3"/>
        <v>vis</v>
      </c>
      <c r="E24" s="40">
        <f>VLOOKUP(C24,Active!C$21:E$973,3,FALSE)</f>
        <v>90.000387140556739</v>
      </c>
      <c r="F24" s="19" t="s">
        <v>54</v>
      </c>
      <c r="G24" s="16" t="str">
        <f t="shared" si="4"/>
        <v>28902.447</v>
      </c>
      <c r="H24" s="9">
        <f t="shared" si="5"/>
        <v>90</v>
      </c>
      <c r="I24" s="41" t="s">
        <v>81</v>
      </c>
      <c r="J24" s="42" t="s">
        <v>82</v>
      </c>
      <c r="K24" s="41">
        <v>90</v>
      </c>
      <c r="L24" s="41" t="s">
        <v>83</v>
      </c>
      <c r="M24" s="42" t="s">
        <v>84</v>
      </c>
      <c r="N24" s="42"/>
      <c r="O24" s="43" t="s">
        <v>85</v>
      </c>
      <c r="P24" s="43" t="s">
        <v>86</v>
      </c>
    </row>
    <row r="25" spans="1:16" ht="12.75" customHeight="1" thickBot="1">
      <c r="A25" s="9" t="str">
        <f t="shared" si="0"/>
        <v> AC 67.8 </v>
      </c>
      <c r="B25" s="19" t="str">
        <f t="shared" si="1"/>
        <v>I</v>
      </c>
      <c r="C25" s="9">
        <f t="shared" si="2"/>
        <v>30184.667000000001</v>
      </c>
      <c r="D25" s="16" t="str">
        <f t="shared" si="3"/>
        <v>vis</v>
      </c>
      <c r="E25" s="40">
        <f>VLOOKUP(C25,Active!C$21:E$973,3,FALSE)</f>
        <v>382.00001366378433</v>
      </c>
      <c r="F25" s="19" t="s">
        <v>54</v>
      </c>
      <c r="G25" s="16" t="str">
        <f t="shared" si="4"/>
        <v>30184.667</v>
      </c>
      <c r="H25" s="9">
        <f t="shared" si="5"/>
        <v>382</v>
      </c>
      <c r="I25" s="41" t="s">
        <v>87</v>
      </c>
      <c r="J25" s="42" t="s">
        <v>88</v>
      </c>
      <c r="K25" s="41">
        <v>382</v>
      </c>
      <c r="L25" s="41" t="s">
        <v>89</v>
      </c>
      <c r="M25" s="42" t="s">
        <v>84</v>
      </c>
      <c r="N25" s="42"/>
      <c r="O25" s="43" t="s">
        <v>85</v>
      </c>
      <c r="P25" s="43" t="s">
        <v>86</v>
      </c>
    </row>
    <row r="26" spans="1:16" ht="12.75" customHeight="1" thickBot="1">
      <c r="A26" s="9" t="str">
        <f t="shared" si="0"/>
        <v> PZ 12.265 </v>
      </c>
      <c r="B26" s="19" t="str">
        <f t="shared" si="1"/>
        <v>I</v>
      </c>
      <c r="C26" s="9">
        <f t="shared" si="2"/>
        <v>32551.526999999998</v>
      </c>
      <c r="D26" s="16" t="str">
        <f t="shared" si="3"/>
        <v>vis</v>
      </c>
      <c r="E26" s="40">
        <f>VLOOKUP(C26,Active!C$21:E$973,3,FALSE)</f>
        <v>921.0044247888369</v>
      </c>
      <c r="F26" s="19" t="s">
        <v>54</v>
      </c>
      <c r="G26" s="16" t="str">
        <f t="shared" si="4"/>
        <v>32551.527</v>
      </c>
      <c r="H26" s="9">
        <f t="shared" si="5"/>
        <v>921</v>
      </c>
      <c r="I26" s="41" t="s">
        <v>90</v>
      </c>
      <c r="J26" s="42" t="s">
        <v>91</v>
      </c>
      <c r="K26" s="41">
        <v>921</v>
      </c>
      <c r="L26" s="41" t="s">
        <v>92</v>
      </c>
      <c r="M26" s="42" t="s">
        <v>84</v>
      </c>
      <c r="N26" s="42"/>
      <c r="O26" s="43" t="s">
        <v>93</v>
      </c>
      <c r="P26" s="43" t="s">
        <v>94</v>
      </c>
    </row>
    <row r="27" spans="1:16" ht="12.75" customHeight="1" thickBot="1">
      <c r="A27" s="9" t="str">
        <f t="shared" si="0"/>
        <v> BTOK 30.218 </v>
      </c>
      <c r="B27" s="19" t="str">
        <f t="shared" si="1"/>
        <v>I</v>
      </c>
      <c r="C27" s="9">
        <f t="shared" si="2"/>
        <v>33319.955000000002</v>
      </c>
      <c r="D27" s="16" t="str">
        <f t="shared" si="3"/>
        <v>vis</v>
      </c>
      <c r="E27" s="40">
        <f>VLOOKUP(C27,Active!C$21:E$973,3,FALSE)</f>
        <v>1095.9983330183072</v>
      </c>
      <c r="F27" s="19" t="s">
        <v>54</v>
      </c>
      <c r="G27" s="16" t="str">
        <f t="shared" si="4"/>
        <v>33319.955</v>
      </c>
      <c r="H27" s="9">
        <f t="shared" si="5"/>
        <v>1096</v>
      </c>
      <c r="I27" s="41" t="s">
        <v>95</v>
      </c>
      <c r="J27" s="42" t="s">
        <v>96</v>
      </c>
      <c r="K27" s="41">
        <v>1096</v>
      </c>
      <c r="L27" s="41" t="s">
        <v>97</v>
      </c>
      <c r="M27" s="42" t="s">
        <v>56</v>
      </c>
      <c r="N27" s="42"/>
      <c r="O27" s="43" t="s">
        <v>98</v>
      </c>
      <c r="P27" s="43" t="s">
        <v>99</v>
      </c>
    </row>
    <row r="28" spans="1:16" ht="12.75" customHeight="1" thickBot="1">
      <c r="A28" s="9" t="str">
        <f t="shared" si="0"/>
        <v> AC 1199.7 </v>
      </c>
      <c r="B28" s="19" t="str">
        <f t="shared" si="1"/>
        <v>I</v>
      </c>
      <c r="C28" s="9">
        <f t="shared" si="2"/>
        <v>37645.33</v>
      </c>
      <c r="D28" s="16" t="str">
        <f t="shared" si="3"/>
        <v>vis</v>
      </c>
      <c r="E28" s="40">
        <f>VLOOKUP(C28,Active!C$21:E$973,3,FALSE)</f>
        <v>2081.0148548109046</v>
      </c>
      <c r="F28" s="19" t="s">
        <v>54</v>
      </c>
      <c r="G28" s="16" t="str">
        <f t="shared" si="4"/>
        <v>37645.33</v>
      </c>
      <c r="H28" s="9">
        <f t="shared" si="5"/>
        <v>2081</v>
      </c>
      <c r="I28" s="41" t="s">
        <v>100</v>
      </c>
      <c r="J28" s="42" t="s">
        <v>101</v>
      </c>
      <c r="K28" s="41">
        <v>2081</v>
      </c>
      <c r="L28" s="41" t="s">
        <v>102</v>
      </c>
      <c r="M28" s="42" t="s">
        <v>60</v>
      </c>
      <c r="N28" s="42"/>
      <c r="O28" s="43" t="s">
        <v>103</v>
      </c>
      <c r="P28" s="43" t="s">
        <v>104</v>
      </c>
    </row>
    <row r="29" spans="1:16" ht="12.75" customHeight="1" thickBot="1">
      <c r="A29" s="9" t="str">
        <f t="shared" si="0"/>
        <v>VSB 55 </v>
      </c>
      <c r="B29" s="19" t="str">
        <f t="shared" si="1"/>
        <v>II</v>
      </c>
      <c r="C29" s="9">
        <f t="shared" si="2"/>
        <v>56270.997900000002</v>
      </c>
      <c r="D29" s="16" t="str">
        <f t="shared" si="3"/>
        <v>vis</v>
      </c>
      <c r="E29" s="40">
        <f>VLOOKUP(C29,Active!C$21:E$973,3,FALSE)</f>
        <v>6322.633352842181</v>
      </c>
      <c r="F29" s="19" t="s">
        <v>54</v>
      </c>
      <c r="G29" s="16" t="str">
        <f t="shared" si="4"/>
        <v>56270.9979</v>
      </c>
      <c r="H29" s="9">
        <f t="shared" si="5"/>
        <v>6322.5</v>
      </c>
      <c r="I29" s="41" t="s">
        <v>129</v>
      </c>
      <c r="J29" s="42" t="s">
        <v>130</v>
      </c>
      <c r="K29" s="41" t="s">
        <v>131</v>
      </c>
      <c r="L29" s="41" t="s">
        <v>132</v>
      </c>
      <c r="M29" s="42" t="s">
        <v>125</v>
      </c>
      <c r="N29" s="42" t="s">
        <v>54</v>
      </c>
      <c r="O29" s="43" t="s">
        <v>133</v>
      </c>
      <c r="P29" s="44" t="s">
        <v>134</v>
      </c>
    </row>
    <row r="30" spans="1:16" ht="12.75" customHeight="1" thickBot="1">
      <c r="A30" s="9" t="str">
        <f t="shared" si="0"/>
        <v>VSB 55 </v>
      </c>
      <c r="B30" s="19" t="str">
        <f t="shared" si="1"/>
        <v>II</v>
      </c>
      <c r="C30" s="9">
        <f t="shared" si="2"/>
        <v>56270.998500000002</v>
      </c>
      <c r="D30" s="16" t="str">
        <f t="shared" si="3"/>
        <v>vis</v>
      </c>
      <c r="E30" s="40">
        <f>VLOOKUP(C30,Active!C$21:E$973,3,FALSE)</f>
        <v>6322.6334894800248</v>
      </c>
      <c r="F30" s="19" t="s">
        <v>54</v>
      </c>
      <c r="G30" s="16" t="str">
        <f t="shared" si="4"/>
        <v>56270.9985</v>
      </c>
      <c r="H30" s="9">
        <f t="shared" si="5"/>
        <v>6322.5</v>
      </c>
      <c r="I30" s="41" t="s">
        <v>135</v>
      </c>
      <c r="J30" s="42" t="s">
        <v>136</v>
      </c>
      <c r="K30" s="41" t="s">
        <v>131</v>
      </c>
      <c r="L30" s="41" t="s">
        <v>137</v>
      </c>
      <c r="M30" s="42" t="s">
        <v>125</v>
      </c>
      <c r="N30" s="42" t="s">
        <v>54</v>
      </c>
      <c r="O30" s="43" t="s">
        <v>133</v>
      </c>
      <c r="P30" s="44" t="s">
        <v>134</v>
      </c>
    </row>
    <row r="31" spans="1:16" ht="12.75" customHeight="1" thickBot="1">
      <c r="A31" s="9" t="str">
        <f t="shared" si="0"/>
        <v>VSB 56 </v>
      </c>
      <c r="B31" s="19" t="str">
        <f t="shared" si="1"/>
        <v>II</v>
      </c>
      <c r="C31" s="9">
        <f t="shared" si="2"/>
        <v>56609.095699999998</v>
      </c>
      <c r="D31" s="16" t="str">
        <f t="shared" si="3"/>
        <v>vis</v>
      </c>
      <c r="E31" s="40">
        <f>VLOOKUP(C31,Active!C$21:E$973,3,FALSE)</f>
        <v>6399.6282767462881</v>
      </c>
      <c r="F31" s="19" t="s">
        <v>54</v>
      </c>
      <c r="G31" s="16" t="str">
        <f t="shared" si="4"/>
        <v>56609.0957</v>
      </c>
      <c r="H31" s="9">
        <f t="shared" si="5"/>
        <v>6399.5</v>
      </c>
      <c r="I31" s="41" t="s">
        <v>138</v>
      </c>
      <c r="J31" s="42" t="s">
        <v>139</v>
      </c>
      <c r="K31" s="41" t="s">
        <v>140</v>
      </c>
      <c r="L31" s="41" t="s">
        <v>141</v>
      </c>
      <c r="M31" s="42" t="s">
        <v>125</v>
      </c>
      <c r="N31" s="42" t="s">
        <v>142</v>
      </c>
      <c r="O31" s="43" t="s">
        <v>133</v>
      </c>
      <c r="P31" s="44" t="s">
        <v>143</v>
      </c>
    </row>
    <row r="32" spans="1:16">
      <c r="B32" s="19"/>
      <c r="E32" s="40"/>
      <c r="F32" s="19"/>
    </row>
    <row r="33" spans="2:6">
      <c r="B33" s="19"/>
      <c r="E33" s="40"/>
      <c r="F33" s="19"/>
    </row>
    <row r="34" spans="2:6">
      <c r="B34" s="19"/>
      <c r="E34" s="40"/>
      <c r="F34" s="19"/>
    </row>
    <row r="35" spans="2:6">
      <c r="B35" s="19"/>
      <c r="E35" s="40"/>
      <c r="F35" s="19"/>
    </row>
    <row r="36" spans="2:6">
      <c r="B36" s="19"/>
      <c r="E36" s="40"/>
      <c r="F36" s="19"/>
    </row>
    <row r="37" spans="2:6">
      <c r="B37" s="19"/>
      <c r="E37" s="40"/>
      <c r="F37" s="19"/>
    </row>
    <row r="38" spans="2:6">
      <c r="B38" s="19"/>
      <c r="E38" s="40"/>
      <c r="F38" s="19"/>
    </row>
    <row r="39" spans="2:6">
      <c r="B39" s="19"/>
      <c r="E39" s="40"/>
      <c r="F39" s="19"/>
    </row>
    <row r="40" spans="2:6">
      <c r="B40" s="19"/>
      <c r="E40" s="40"/>
      <c r="F40" s="19"/>
    </row>
    <row r="41" spans="2:6">
      <c r="B41" s="19"/>
      <c r="E41" s="40"/>
      <c r="F41" s="19"/>
    </row>
    <row r="42" spans="2:6">
      <c r="B42" s="19"/>
      <c r="E42" s="40"/>
      <c r="F42" s="19"/>
    </row>
    <row r="43" spans="2:6">
      <c r="B43" s="19"/>
      <c r="E43" s="40"/>
      <c r="F43" s="19"/>
    </row>
    <row r="44" spans="2:6">
      <c r="B44" s="19"/>
      <c r="E44" s="40"/>
      <c r="F44" s="19"/>
    </row>
    <row r="45" spans="2:6">
      <c r="B45" s="19"/>
      <c r="E45" s="40"/>
      <c r="F45" s="19"/>
    </row>
    <row r="46" spans="2:6">
      <c r="B46" s="19"/>
      <c r="E46" s="40"/>
      <c r="F46" s="19"/>
    </row>
    <row r="47" spans="2:6">
      <c r="B47" s="19"/>
      <c r="E47" s="40"/>
      <c r="F47" s="19"/>
    </row>
    <row r="48" spans="2:6">
      <c r="B48" s="19"/>
      <c r="E48" s="40"/>
      <c r="F48" s="19"/>
    </row>
    <row r="49" spans="2:6">
      <c r="B49" s="19"/>
      <c r="E49" s="40"/>
      <c r="F49" s="19"/>
    </row>
    <row r="50" spans="2:6">
      <c r="B50" s="19"/>
      <c r="E50" s="40"/>
      <c r="F50" s="19"/>
    </row>
    <row r="51" spans="2:6">
      <c r="B51" s="19"/>
      <c r="E51" s="40"/>
      <c r="F51" s="19"/>
    </row>
    <row r="52" spans="2:6">
      <c r="B52" s="19"/>
      <c r="E52" s="40"/>
      <c r="F52" s="19"/>
    </row>
    <row r="53" spans="2:6">
      <c r="B53" s="19"/>
      <c r="E53" s="40"/>
      <c r="F53" s="19"/>
    </row>
    <row r="54" spans="2:6">
      <c r="B54" s="19"/>
      <c r="E54" s="40"/>
      <c r="F54" s="19"/>
    </row>
    <row r="55" spans="2:6">
      <c r="B55" s="19"/>
      <c r="E55" s="40"/>
      <c r="F55" s="19"/>
    </row>
    <row r="56" spans="2:6">
      <c r="B56" s="19"/>
      <c r="E56" s="40"/>
      <c r="F56" s="19"/>
    </row>
    <row r="57" spans="2:6">
      <c r="B57" s="19"/>
      <c r="E57" s="40"/>
      <c r="F57" s="19"/>
    </row>
    <row r="58" spans="2:6">
      <c r="B58" s="19"/>
      <c r="E58" s="40"/>
      <c r="F58" s="19"/>
    </row>
    <row r="59" spans="2:6">
      <c r="B59" s="19"/>
      <c r="E59" s="40"/>
      <c r="F59" s="19"/>
    </row>
    <row r="60" spans="2:6">
      <c r="B60" s="19"/>
      <c r="E60" s="40"/>
      <c r="F60" s="19"/>
    </row>
    <row r="61" spans="2:6">
      <c r="B61" s="19"/>
      <c r="E61" s="40"/>
      <c r="F61" s="19"/>
    </row>
    <row r="62" spans="2:6">
      <c r="B62" s="19"/>
      <c r="E62" s="40"/>
      <c r="F62" s="19"/>
    </row>
    <row r="63" spans="2:6">
      <c r="B63" s="19"/>
      <c r="E63" s="40"/>
      <c r="F63" s="19"/>
    </row>
    <row r="64" spans="2:6">
      <c r="B64" s="19"/>
      <c r="E64" s="40"/>
      <c r="F64" s="19"/>
    </row>
    <row r="65" spans="2:6">
      <c r="B65" s="19"/>
      <c r="E65" s="40"/>
      <c r="F65" s="19"/>
    </row>
    <row r="66" spans="2:6">
      <c r="B66" s="19"/>
      <c r="E66" s="40"/>
      <c r="F66" s="19"/>
    </row>
    <row r="67" spans="2:6">
      <c r="B67" s="19"/>
      <c r="E67" s="40"/>
      <c r="F67" s="19"/>
    </row>
    <row r="68" spans="2:6">
      <c r="B68" s="19"/>
      <c r="E68" s="40"/>
      <c r="F68" s="19"/>
    </row>
    <row r="69" spans="2:6">
      <c r="B69" s="19"/>
      <c r="E69" s="40"/>
      <c r="F69" s="19"/>
    </row>
    <row r="70" spans="2:6">
      <c r="B70" s="19"/>
      <c r="E70" s="40"/>
      <c r="F70" s="19"/>
    </row>
    <row r="71" spans="2:6">
      <c r="B71" s="19"/>
      <c r="E71" s="40"/>
      <c r="F71" s="19"/>
    </row>
    <row r="72" spans="2:6">
      <c r="B72" s="19"/>
      <c r="E72" s="40"/>
      <c r="F72" s="19"/>
    </row>
    <row r="73" spans="2:6">
      <c r="B73" s="19"/>
      <c r="E73" s="40"/>
      <c r="F73" s="19"/>
    </row>
    <row r="74" spans="2:6">
      <c r="B74" s="19"/>
      <c r="E74" s="40"/>
      <c r="F74" s="19"/>
    </row>
    <row r="75" spans="2:6">
      <c r="B75" s="19"/>
      <c r="E75" s="40"/>
      <c r="F75" s="19"/>
    </row>
    <row r="76" spans="2:6">
      <c r="B76" s="19"/>
      <c r="E76" s="40"/>
      <c r="F76" s="19"/>
    </row>
    <row r="77" spans="2:6">
      <c r="B77" s="19"/>
      <c r="E77" s="40"/>
      <c r="F77" s="19"/>
    </row>
    <row r="78" spans="2:6">
      <c r="B78" s="19"/>
      <c r="E78" s="40"/>
      <c r="F78" s="19"/>
    </row>
    <row r="79" spans="2:6">
      <c r="B79" s="19"/>
      <c r="E79" s="40"/>
      <c r="F79" s="19"/>
    </row>
    <row r="80" spans="2:6">
      <c r="B80" s="19"/>
      <c r="E80" s="40"/>
      <c r="F80" s="19"/>
    </row>
    <row r="81" spans="2:6">
      <c r="B81" s="19"/>
      <c r="E81" s="40"/>
      <c r="F81" s="19"/>
    </row>
    <row r="82" spans="2:6">
      <c r="B82" s="19"/>
      <c r="E82" s="40"/>
      <c r="F82" s="19"/>
    </row>
    <row r="83" spans="2:6">
      <c r="B83" s="19"/>
      <c r="E83" s="40"/>
      <c r="F83" s="19"/>
    </row>
    <row r="84" spans="2:6">
      <c r="B84" s="19"/>
      <c r="E84" s="40"/>
      <c r="F84" s="19"/>
    </row>
    <row r="85" spans="2:6">
      <c r="B85" s="19"/>
      <c r="E85" s="40"/>
      <c r="F85" s="19"/>
    </row>
    <row r="86" spans="2:6">
      <c r="B86" s="19"/>
      <c r="E86" s="40"/>
      <c r="F86" s="19"/>
    </row>
    <row r="87" spans="2:6">
      <c r="B87" s="19"/>
      <c r="E87" s="40"/>
      <c r="F87" s="19"/>
    </row>
    <row r="88" spans="2:6">
      <c r="B88" s="19"/>
      <c r="E88" s="40"/>
      <c r="F88" s="19"/>
    </row>
    <row r="89" spans="2:6">
      <c r="B89" s="19"/>
      <c r="E89" s="40"/>
      <c r="F89" s="19"/>
    </row>
    <row r="90" spans="2:6">
      <c r="B90" s="19"/>
      <c r="E90" s="40"/>
      <c r="F90" s="19"/>
    </row>
    <row r="91" spans="2:6">
      <c r="B91" s="19"/>
      <c r="E91" s="40"/>
      <c r="F91" s="19"/>
    </row>
    <row r="92" spans="2:6">
      <c r="B92" s="19"/>
      <c r="E92" s="40"/>
      <c r="F92" s="19"/>
    </row>
    <row r="93" spans="2:6">
      <c r="B93" s="19"/>
      <c r="E93" s="40"/>
      <c r="F93" s="19"/>
    </row>
    <row r="94" spans="2:6">
      <c r="B94" s="19"/>
      <c r="E94" s="40"/>
      <c r="F94" s="19"/>
    </row>
    <row r="95" spans="2:6">
      <c r="B95" s="19"/>
      <c r="E95" s="40"/>
      <c r="F95" s="19"/>
    </row>
    <row r="96" spans="2:6">
      <c r="B96" s="19"/>
      <c r="E96" s="40"/>
      <c r="F96" s="19"/>
    </row>
    <row r="97" spans="2:6">
      <c r="B97" s="19"/>
      <c r="E97" s="40"/>
      <c r="F97" s="19"/>
    </row>
    <row r="98" spans="2:6">
      <c r="B98" s="19"/>
      <c r="E98" s="40"/>
      <c r="F98" s="19"/>
    </row>
    <row r="99" spans="2:6">
      <c r="B99" s="19"/>
      <c r="E99" s="40"/>
      <c r="F99" s="19"/>
    </row>
    <row r="100" spans="2:6">
      <c r="B100" s="19"/>
      <c r="E100" s="40"/>
      <c r="F100" s="19"/>
    </row>
    <row r="101" spans="2:6">
      <c r="B101" s="19"/>
      <c r="E101" s="40"/>
      <c r="F101" s="19"/>
    </row>
    <row r="102" spans="2:6">
      <c r="B102" s="19"/>
      <c r="E102" s="40"/>
      <c r="F102" s="19"/>
    </row>
    <row r="103" spans="2:6">
      <c r="B103" s="19"/>
      <c r="E103" s="40"/>
      <c r="F103" s="19"/>
    </row>
    <row r="104" spans="2:6">
      <c r="B104" s="19"/>
      <c r="E104" s="40"/>
      <c r="F104" s="19"/>
    </row>
    <row r="105" spans="2:6">
      <c r="B105" s="19"/>
      <c r="E105" s="40"/>
      <c r="F105" s="19"/>
    </row>
    <row r="106" spans="2:6">
      <c r="B106" s="19"/>
      <c r="E106" s="40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  <row r="856" spans="2:6">
      <c r="B856" s="19"/>
      <c r="F856" s="19"/>
    </row>
    <row r="857" spans="2:6">
      <c r="B857" s="19"/>
      <c r="F857" s="19"/>
    </row>
    <row r="858" spans="2:6">
      <c r="B858" s="19"/>
      <c r="F858" s="19"/>
    </row>
    <row r="859" spans="2:6">
      <c r="B859" s="19"/>
      <c r="F859" s="19"/>
    </row>
    <row r="860" spans="2:6">
      <c r="B860" s="19"/>
      <c r="F860" s="19"/>
    </row>
    <row r="861" spans="2:6">
      <c r="B861" s="19"/>
      <c r="F861" s="19"/>
    </row>
    <row r="862" spans="2:6">
      <c r="B862" s="19"/>
      <c r="F862" s="19"/>
    </row>
    <row r="863" spans="2:6">
      <c r="B863" s="19"/>
      <c r="F863" s="19"/>
    </row>
    <row r="864" spans="2:6">
      <c r="B864" s="19"/>
      <c r="F864" s="19"/>
    </row>
    <row r="865" spans="2:6">
      <c r="B865" s="19"/>
      <c r="F865" s="19"/>
    </row>
    <row r="866" spans="2:6">
      <c r="B866" s="19"/>
      <c r="F866" s="19"/>
    </row>
    <row r="867" spans="2:6">
      <c r="B867" s="19"/>
      <c r="F867" s="19"/>
    </row>
    <row r="868" spans="2:6">
      <c r="B868" s="19"/>
      <c r="F868" s="19"/>
    </row>
    <row r="869" spans="2:6">
      <c r="B869" s="19"/>
      <c r="F869" s="19"/>
    </row>
    <row r="870" spans="2:6">
      <c r="B870" s="19"/>
      <c r="F870" s="19"/>
    </row>
    <row r="871" spans="2:6">
      <c r="B871" s="19"/>
      <c r="F871" s="19"/>
    </row>
    <row r="872" spans="2:6">
      <c r="B872" s="19"/>
      <c r="F872" s="19"/>
    </row>
    <row r="873" spans="2:6">
      <c r="B873" s="19"/>
      <c r="F873" s="19"/>
    </row>
    <row r="874" spans="2:6">
      <c r="B874" s="19"/>
      <c r="F874" s="19"/>
    </row>
    <row r="875" spans="2:6">
      <c r="B875" s="19"/>
      <c r="F875" s="19"/>
    </row>
    <row r="876" spans="2:6">
      <c r="B876" s="19"/>
      <c r="F876" s="19"/>
    </row>
    <row r="877" spans="2:6">
      <c r="B877" s="19"/>
      <c r="F877" s="19"/>
    </row>
    <row r="878" spans="2:6">
      <c r="B878" s="19"/>
      <c r="F878" s="19"/>
    </row>
    <row r="879" spans="2:6">
      <c r="B879" s="19"/>
      <c r="F879" s="19"/>
    </row>
    <row r="880" spans="2:6">
      <c r="B880" s="19"/>
      <c r="F880" s="19"/>
    </row>
    <row r="881" spans="2:6">
      <c r="B881" s="19"/>
      <c r="F881" s="19"/>
    </row>
    <row r="882" spans="2:6">
      <c r="B882" s="19"/>
      <c r="F882" s="19"/>
    </row>
    <row r="883" spans="2:6">
      <c r="B883" s="19"/>
      <c r="F883" s="19"/>
    </row>
    <row r="884" spans="2:6">
      <c r="B884" s="19"/>
      <c r="F884" s="19"/>
    </row>
    <row r="885" spans="2:6">
      <c r="B885" s="19"/>
      <c r="F885" s="19"/>
    </row>
    <row r="886" spans="2:6">
      <c r="B886" s="19"/>
      <c r="F886" s="19"/>
    </row>
    <row r="887" spans="2:6">
      <c r="B887" s="19"/>
      <c r="F887" s="19"/>
    </row>
    <row r="888" spans="2:6">
      <c r="B888" s="19"/>
      <c r="F888" s="19"/>
    </row>
    <row r="889" spans="2:6">
      <c r="B889" s="19"/>
      <c r="F889" s="19"/>
    </row>
    <row r="890" spans="2:6">
      <c r="B890" s="19"/>
      <c r="F890" s="19"/>
    </row>
    <row r="891" spans="2:6">
      <c r="B891" s="19"/>
      <c r="F891" s="19"/>
    </row>
    <row r="892" spans="2:6">
      <c r="B892" s="19"/>
      <c r="F892" s="19"/>
    </row>
    <row r="893" spans="2:6">
      <c r="B893" s="19"/>
      <c r="F893" s="19"/>
    </row>
    <row r="894" spans="2:6">
      <c r="B894" s="19"/>
      <c r="F894" s="19"/>
    </row>
  </sheetData>
  <phoneticPr fontId="7" type="noConversion"/>
  <hyperlinks>
    <hyperlink ref="P16" r:id="rId1" display="http://www.bav-astro.de/sfs/BAVM_link.php?BAVMnr=201" xr:uid="{00000000-0004-0000-0100-000000000000}"/>
    <hyperlink ref="P29" r:id="rId2" display="http://vsolj.cetus-net.org/vsoljno55.pdf" xr:uid="{00000000-0004-0000-0100-000001000000}"/>
    <hyperlink ref="P30" r:id="rId3" display="http://vsolj.cetus-net.org/vsoljno55.pdf" xr:uid="{00000000-0004-0000-0100-000002000000}"/>
    <hyperlink ref="P31" r:id="rId4" display="http://vsolj.cetus-net.org/vsoljno56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2024-07-16T07:51:51Z</dcterms:modified>
</cp:coreProperties>
</file>