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15A005-A9D3-425B-A501-B22E123453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F14" i="1"/>
  <c r="E40" i="1"/>
  <c r="F40" i="1" s="1"/>
  <c r="G40" i="1" s="1"/>
  <c r="K40" i="1" s="1"/>
  <c r="Q40" i="1"/>
  <c r="Q36" i="1"/>
  <c r="Q37" i="1"/>
  <c r="Q38" i="1"/>
  <c r="Q39" i="1"/>
  <c r="Q33" i="1"/>
  <c r="Q34" i="1"/>
  <c r="Q35" i="1"/>
  <c r="D9" i="1"/>
  <c r="C9" i="1"/>
  <c r="Q22" i="1"/>
  <c r="Q23" i="1"/>
  <c r="Q24" i="1"/>
  <c r="Q25" i="1"/>
  <c r="Q26" i="1"/>
  <c r="Q27" i="1"/>
  <c r="Q28" i="1"/>
  <c r="Q29" i="1"/>
  <c r="Q32" i="1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C17" i="1"/>
  <c r="Q31" i="1"/>
  <c r="E36" i="1"/>
  <c r="F36" i="1" s="1"/>
  <c r="G36" i="1" s="1"/>
  <c r="K36" i="1" s="1"/>
  <c r="Q21" i="1"/>
  <c r="E15" i="2"/>
  <c r="E22" i="1"/>
  <c r="E21" i="1"/>
  <c r="F21" i="1" s="1"/>
  <c r="G21" i="1" s="1"/>
  <c r="H21" i="1" s="1"/>
  <c r="E23" i="1"/>
  <c r="E26" i="1"/>
  <c r="F26" i="1"/>
  <c r="G26" i="1"/>
  <c r="I26" i="1" s="1"/>
  <c r="E24" i="1"/>
  <c r="F24" i="1"/>
  <c r="G24" i="1" s="1"/>
  <c r="I24" i="1" s="1"/>
  <c r="E29" i="1"/>
  <c r="F29" i="1"/>
  <c r="G29" i="1" s="1"/>
  <c r="I29" i="1" s="1"/>
  <c r="E38" i="1"/>
  <c r="F38" i="1" s="1"/>
  <c r="G38" i="1" s="1"/>
  <c r="K38" i="1" s="1"/>
  <c r="E33" i="1"/>
  <c r="F33" i="1" s="1"/>
  <c r="G33" i="1" s="1"/>
  <c r="K33" i="1" s="1"/>
  <c r="E28" i="1"/>
  <c r="F28" i="1" s="1"/>
  <c r="G28" i="1" s="1"/>
  <c r="I28" i="1" s="1"/>
  <c r="E37" i="1"/>
  <c r="F37" i="1" s="1"/>
  <c r="G37" i="1" s="1"/>
  <c r="K37" i="1" s="1"/>
  <c r="E35" i="1"/>
  <c r="F35" i="1" s="1"/>
  <c r="G35" i="1" s="1"/>
  <c r="K35" i="1" s="1"/>
  <c r="E25" i="1"/>
  <c r="F25" i="1" s="1"/>
  <c r="G25" i="1" s="1"/>
  <c r="I25" i="1" s="1"/>
  <c r="E32" i="1"/>
  <c r="F32" i="1" s="1"/>
  <c r="G32" i="1" s="1"/>
  <c r="I32" i="1" s="1"/>
  <c r="E39" i="1"/>
  <c r="F39" i="1" s="1"/>
  <c r="G39" i="1" s="1"/>
  <c r="K39" i="1" s="1"/>
  <c r="E31" i="1"/>
  <c r="F31" i="1" s="1"/>
  <c r="G31" i="1" s="1"/>
  <c r="I31" i="1" s="1"/>
  <c r="E27" i="1"/>
  <c r="F27" i="1" s="1"/>
  <c r="G27" i="1" s="1"/>
  <c r="I27" i="1" s="1"/>
  <c r="E34" i="1"/>
  <c r="F34" i="1" s="1"/>
  <c r="G34" i="1" s="1"/>
  <c r="K34" i="1" s="1"/>
  <c r="E11" i="2"/>
  <c r="F22" i="1"/>
  <c r="G22" i="1" s="1"/>
  <c r="I22" i="1" s="1"/>
  <c r="E13" i="2"/>
  <c r="E12" i="2"/>
  <c r="F23" i="1"/>
  <c r="S23" i="1" s="1"/>
  <c r="E16" i="2"/>
  <c r="E18" i="2"/>
  <c r="C11" i="1"/>
  <c r="C12" i="1"/>
  <c r="E19" i="2" l="1"/>
  <c r="E17" i="2"/>
  <c r="E14" i="2"/>
  <c r="O30" i="1"/>
  <c r="F15" i="1"/>
  <c r="O40" i="1"/>
  <c r="O27" i="1"/>
  <c r="O29" i="1"/>
  <c r="O26" i="1"/>
  <c r="O22" i="1"/>
  <c r="O28" i="1"/>
  <c r="O36" i="1"/>
  <c r="O24" i="1"/>
  <c r="O38" i="1"/>
  <c r="O35" i="1"/>
  <c r="O33" i="1"/>
  <c r="O23" i="1"/>
  <c r="O37" i="1"/>
  <c r="O39" i="1"/>
  <c r="O32" i="1"/>
  <c r="O31" i="1"/>
  <c r="O34" i="1"/>
  <c r="O21" i="1"/>
  <c r="C15" i="1"/>
  <c r="O25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<sst xmlns="http://schemas.openxmlformats.org/spreadsheetml/2006/main" count="180" uniqueCount="99">
  <si>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</si>
  <si>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</si>
  <si>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</si>
  <si>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</si>
  <si>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</si>
  <si>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</si>
  <si>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</si>
  <si>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</si>
  <si>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</si>
  <si>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</si>
  <si>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</si>
  <si>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</si>
  <si>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</si>
  <si>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</si>
  <si>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</si>
  <si>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</si>
  <si>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</si>
  <si>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</si>
  <si>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</si>
  <si>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</si>
  <si>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</si>
  <si>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</si>
  <si>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</si>
  <si>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</si>
  <si>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</si>
  <si>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</si>
  <si>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</si>
  <si>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</si>
  <si>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</si>
  <si>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</si>
  <si>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</si>
  <si>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</si>
  <si>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</si>
  <si>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</si>
  <si>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WZ Cet / GSC 4687-0310</t>
  </si>
  <si>
    <t>OEJV 0073</t>
  </si>
  <si>
    <t>I</t>
  </si>
  <si>
    <t>EA/DM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</si>
  <si>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</si>
  <si>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</si>
  <si>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</si>
  <si>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</si>
  <si>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</si>
  <si>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</si>
  <si>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</si>
  <si>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</si>
  <si>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</si>
  <si>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</si>
  <si>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</si>
  <si>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</si>
  <si>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</si>
  <si>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2426308.415 </t>
  </si>
  <si>
    <t> 27.11.1930 21:57 </t>
  </si>
  <si>
    <t> 0.065 </t>
  </si>
  <si>
    <t>P </t>
  </si>
  <si>
    <t> W.Strohmeier et al </t>
  </si>
  <si>
    <t> MVS 651 </t>
  </si>
  <si>
    <t>2436820.603 </t>
  </si>
  <si>
    <t> 09.09.1959 02:28 </t>
  </si>
  <si>
    <t> -0.276 </t>
  </si>
  <si>
    <t>2436840.481 </t>
  </si>
  <si>
    <t> 28.09.1959 23:32 </t>
  </si>
  <si>
    <t> -0.333 </t>
  </si>
  <si>
    <t>2436840.526 </t>
  </si>
  <si>
    <t> 29.09.1959 00:37 </t>
  </si>
  <si>
    <t> -0.288 </t>
  </si>
  <si>
    <t>2436847.465 </t>
  </si>
  <si>
    <t> 05.10.1959 23:09 </t>
  </si>
  <si>
    <t> 0.005 </t>
  </si>
  <si>
    <t>2436847.510 </t>
  </si>
  <si>
    <t> 06.10.1959 00:14 </t>
  </si>
  <si>
    <t> 0.050 </t>
  </si>
  <si>
    <t>2437578.459 </t>
  </si>
  <si>
    <t> 05.10.1961 23:00 </t>
  </si>
  <si>
    <t> 0.040 </t>
  </si>
  <si>
    <t>2437578.512 </t>
  </si>
  <si>
    <t> 06.10.1961 00:17 </t>
  </si>
  <si>
    <t> 0.093 </t>
  </si>
  <si>
    <t>2454067.320 </t>
  </si>
  <si>
    <t> 27.11.2006 19:40 </t>
  </si>
  <si>
    <t> -0.885 </t>
  </si>
  <si>
    <t>C </t>
  </si>
  <si>
    <t>o</t>
  </si>
  <si>
    <t> A.Paschke </t>
  </si>
  <si>
    <t>OEJV 0073 </t>
  </si>
  <si>
    <t>II</t>
  </si>
  <si>
    <t>VSB-64</t>
  </si>
  <si>
    <t>B</t>
  </si>
  <si>
    <t>Ic</t>
  </si>
  <si>
    <t>VSB 069</t>
  </si>
  <si>
    <t>U</t>
  </si>
  <si>
    <t>JBAV, 79</t>
  </si>
  <si>
    <t xml:space="preserve">Mag </t>
  </si>
  <si>
    <t>Next ToM-P</t>
  </si>
  <si>
    <t>Next ToM-S</t>
  </si>
  <si>
    <t>10.20-10.80</t>
  </si>
  <si>
    <t>VSX</t>
  </si>
  <si>
    <t>Note new period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</si>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</sst>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top"/>
    </xf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1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8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14" fillId="0" borderId="0" xfId="9" applyFont="1"/>
    <xf numFmtId="0" fontId="14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4" fontId="20" fillId="0" borderId="0" xfId="1" applyFont="1" applyBorder="1"/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 vertical="top"/>
    </xf>
    <xf numFmtId="165" fontId="14" fillId="0" borderId="0" xfId="9" applyNumberFormat="1" applyFont="1" applyAlignment="1">
      <alignment horizontal="left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/>
    <xf numFmtId="0" fontId="0" fillId="3" borderId="12" xfId="0" applyFill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22" fontId="22" fillId="0" borderId="15" xfId="0" applyNumberFormat="1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14" fillId="0" borderId="0" xfId="9" applyFont="1" applyFill="1"/>
    <xf numFmtId="0" fontId="24" fillId="0" borderId="0" xfId="0" applyFont="1" applyAlignment="1">
      <alignment horizontal="center" vertical="center"/>
    </xf>
  </cellXfs>
  <cellStyles count="1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Normal_A" xfId="9" xr:uid="{00000000-0005-0000-0000-000009000000}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-0.41560000000390573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D-4E8A-AD32-27B235BD653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-0.35060000000157743</c:v>
                </c:pt>
                <c:pt idx="3">
                  <c:v>-0.24330000000190921</c:v>
                </c:pt>
                <c:pt idx="4">
                  <c:v>-0.19830000000365544</c:v>
                </c:pt>
                <c:pt idx="5">
                  <c:v>-0.17760000000998843</c:v>
                </c:pt>
                <c:pt idx="6">
                  <c:v>-0.13260000000445871</c:v>
                </c:pt>
                <c:pt idx="7">
                  <c:v>-0.21730000000388827</c:v>
                </c:pt>
                <c:pt idx="8">
                  <c:v>-0.16430000000400469</c:v>
                </c:pt>
                <c:pt idx="10">
                  <c:v>2.8699999827949796E-2</c:v>
                </c:pt>
                <c:pt idx="11">
                  <c:v>2.8699999995296821E-2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D-4E8A-AD32-27B235BD65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CD-4E8A-AD32-27B235BD65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0</c:v>
                </c:pt>
                <c:pt idx="12">
                  <c:v>4.8499999997147825E-2</c:v>
                </c:pt>
                <c:pt idx="13">
                  <c:v>5.1400000003923196E-2</c:v>
                </c:pt>
                <c:pt idx="14">
                  <c:v>5.2799999997660052E-2</c:v>
                </c:pt>
                <c:pt idx="15">
                  <c:v>5.1500000001396984E-2</c:v>
                </c:pt>
                <c:pt idx="16">
                  <c:v>5.2499999997962732E-2</c:v>
                </c:pt>
                <c:pt idx="17">
                  <c:v>5.2499999997962732E-2</c:v>
                </c:pt>
                <c:pt idx="18">
                  <c:v>5.5500000002211891E-2</c:v>
                </c:pt>
                <c:pt idx="19">
                  <c:v>6.1499999799707439E-2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CD-4E8A-AD32-27B235BD65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CD-4E8A-AD32-27B235BD65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CD-4E8A-AD32-27B235BD65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0">
                    <c:v>0.01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CD-4E8A-AD32-27B235BD65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-0.34130704882988666</c:v>
                </c:pt>
                <c:pt idx="1">
                  <c:v>-0.34130704882988666</c:v>
                </c:pt>
                <c:pt idx="2">
                  <c:v>-0.20997084831663762</c:v>
                </c:pt>
                <c:pt idx="3">
                  <c:v>-0.20971151839021829</c:v>
                </c:pt>
                <c:pt idx="4">
                  <c:v>-0.20971151839021829</c:v>
                </c:pt>
                <c:pt idx="5">
                  <c:v>-0.20962507508141184</c:v>
                </c:pt>
                <c:pt idx="6">
                  <c:v>-0.20962507508141184</c:v>
                </c:pt>
                <c:pt idx="7">
                  <c:v>-0.20049089878419818</c:v>
                </c:pt>
                <c:pt idx="8">
                  <c:v>-0.20049089878419818</c:v>
                </c:pt>
                <c:pt idx="9">
                  <c:v>-2.1927837226364821E-2</c:v>
                </c:pt>
                <c:pt idx="10">
                  <c:v>5.5323205378138424E-3</c:v>
                </c:pt>
                <c:pt idx="11">
                  <c:v>5.5323205378138424E-3</c:v>
                </c:pt>
                <c:pt idx="12">
                  <c:v>5.5294851974053677E-2</c:v>
                </c:pt>
                <c:pt idx="13">
                  <c:v>5.5294851974053677E-2</c:v>
                </c:pt>
                <c:pt idx="14">
                  <c:v>5.5294851974053677E-2</c:v>
                </c:pt>
                <c:pt idx="15">
                  <c:v>6.8117276113675393E-2</c:v>
                </c:pt>
                <c:pt idx="16">
                  <c:v>6.8117276113675393E-2</c:v>
                </c:pt>
                <c:pt idx="17">
                  <c:v>6.8117276113675393E-2</c:v>
                </c:pt>
                <c:pt idx="18">
                  <c:v>6.8117276113675393E-2</c:v>
                </c:pt>
                <c:pt idx="19">
                  <c:v>7.8778617533136155E-2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CD-4E8A-AD32-27B235BD653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8575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A-4615-B252-C8B55A1EF76C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-5542</c:v>
                </c:pt>
                <c:pt idx="1">
                  <c:v>-5542</c:v>
                </c:pt>
                <c:pt idx="2">
                  <c:v>-3263</c:v>
                </c:pt>
                <c:pt idx="3">
                  <c:v>-3258.5</c:v>
                </c:pt>
                <c:pt idx="4">
                  <c:v>-3258.5</c:v>
                </c:pt>
                <c:pt idx="5">
                  <c:v>-3257</c:v>
                </c:pt>
                <c:pt idx="6">
                  <c:v>-3257</c:v>
                </c:pt>
                <c:pt idx="7">
                  <c:v>-3098.5</c:v>
                </c:pt>
                <c:pt idx="8">
                  <c:v>-3098.5</c:v>
                </c:pt>
                <c:pt idx="9">
                  <c:v>0</c:v>
                </c:pt>
                <c:pt idx="10">
                  <c:v>476.5</c:v>
                </c:pt>
                <c:pt idx="11">
                  <c:v>476.5</c:v>
                </c:pt>
                <c:pt idx="12">
                  <c:v>1340</c:v>
                </c:pt>
                <c:pt idx="13">
                  <c:v>1340</c:v>
                </c:pt>
                <c:pt idx="14">
                  <c:v>1340</c:v>
                </c:pt>
                <c:pt idx="15">
                  <c:v>1562.5</c:v>
                </c:pt>
                <c:pt idx="16">
                  <c:v>1562.5</c:v>
                </c:pt>
                <c:pt idx="17">
                  <c:v>1562.5</c:v>
                </c:pt>
                <c:pt idx="18">
                  <c:v>1562.5</c:v>
                </c:pt>
                <c:pt idx="19">
                  <c:v>1747.5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  <c:pt idx="2">
                  <c:v>0.63360000000102445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A-4615-B252-C8B55A1E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45264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-5542</c:v>
                      </c:pt>
                      <c:pt idx="1">
                        <c:v>-5542</c:v>
                      </c:pt>
                      <c:pt idx="2">
                        <c:v>-3263</c:v>
                      </c:pt>
                      <c:pt idx="3">
                        <c:v>-3258.5</c:v>
                      </c:pt>
                      <c:pt idx="4">
                        <c:v>-3258.5</c:v>
                      </c:pt>
                      <c:pt idx="5">
                        <c:v>-3257</c:v>
                      </c:pt>
                      <c:pt idx="6">
                        <c:v>-3257</c:v>
                      </c:pt>
                      <c:pt idx="7">
                        <c:v>-3098.5</c:v>
                      </c:pt>
                      <c:pt idx="8">
                        <c:v>-3098.5</c:v>
                      </c:pt>
                      <c:pt idx="9">
                        <c:v>0</c:v>
                      </c:pt>
                      <c:pt idx="10">
                        <c:v>476.5</c:v>
                      </c:pt>
                      <c:pt idx="11">
                        <c:v>476.5</c:v>
                      </c:pt>
                      <c:pt idx="12">
                        <c:v>1340</c:v>
                      </c:pt>
                      <c:pt idx="13">
                        <c:v>1340</c:v>
                      </c:pt>
                      <c:pt idx="14">
                        <c:v>1340</c:v>
                      </c:pt>
                      <c:pt idx="15">
                        <c:v>1562.5</c:v>
                      </c:pt>
                      <c:pt idx="16">
                        <c:v>1562.5</c:v>
                      </c:pt>
                      <c:pt idx="17">
                        <c:v>1562.5</c:v>
                      </c:pt>
                      <c:pt idx="18">
                        <c:v>1562.5</c:v>
                      </c:pt>
                      <c:pt idx="19">
                        <c:v>1747.5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11289.849999999999</c:v>
                      </c:pt>
                      <c:pt idx="1">
                        <c:v>11289.915000000001</c:v>
                      </c:pt>
                      <c:pt idx="2">
                        <c:v>21802.103000000003</c:v>
                      </c:pt>
                      <c:pt idx="3">
                        <c:v>21821.981</c:v>
                      </c:pt>
                      <c:pt idx="4">
                        <c:v>21822.025999999998</c:v>
                      </c:pt>
                      <c:pt idx="5">
                        <c:v>21828.964999999997</c:v>
                      </c:pt>
                      <c:pt idx="6">
                        <c:v>21829.010000000002</c:v>
                      </c:pt>
                      <c:pt idx="7">
                        <c:v>22559.959000000003</c:v>
                      </c:pt>
                      <c:pt idx="8">
                        <c:v>22560.012000000002</c:v>
                      </c:pt>
                      <c:pt idx="9">
                        <c:v>36851.078000000001</c:v>
                      </c:pt>
                      <c:pt idx="10">
                        <c:v>39048.819999999832</c:v>
                      </c:pt>
                      <c:pt idx="11">
                        <c:v>39048.82</c:v>
                      </c:pt>
                      <c:pt idx="12">
                        <c:v>43031.474499999997</c:v>
                      </c:pt>
                      <c:pt idx="13">
                        <c:v>43031.477400000003</c:v>
                      </c:pt>
                      <c:pt idx="14">
                        <c:v>43031.478799999997</c:v>
                      </c:pt>
                      <c:pt idx="15">
                        <c:v>44057.692000000003</c:v>
                      </c:pt>
                      <c:pt idx="16">
                        <c:v>44057.692999999999</c:v>
                      </c:pt>
                      <c:pt idx="17">
                        <c:v>44057.692999999999</c:v>
                      </c:pt>
                      <c:pt idx="18">
                        <c:v>44057.696000000004</c:v>
                      </c:pt>
                      <c:pt idx="19">
                        <c:v>44910.958999999799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1DA-4615-B252-C8B55A1EF76C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-5542</c:v>
                      </c:pt>
                      <c:pt idx="1">
                        <c:v>-5542</c:v>
                      </c:pt>
                      <c:pt idx="2">
                        <c:v>-3263</c:v>
                      </c:pt>
                      <c:pt idx="3">
                        <c:v>-3258.5</c:v>
                      </c:pt>
                      <c:pt idx="4">
                        <c:v>-3258.5</c:v>
                      </c:pt>
                      <c:pt idx="5">
                        <c:v>-3257</c:v>
                      </c:pt>
                      <c:pt idx="6">
                        <c:v>-3257</c:v>
                      </c:pt>
                      <c:pt idx="7">
                        <c:v>-3098.5</c:v>
                      </c:pt>
                      <c:pt idx="8">
                        <c:v>-3098.5</c:v>
                      </c:pt>
                      <c:pt idx="9">
                        <c:v>0</c:v>
                      </c:pt>
                      <c:pt idx="10">
                        <c:v>476.5</c:v>
                      </c:pt>
                      <c:pt idx="11">
                        <c:v>476.5</c:v>
                      </c:pt>
                      <c:pt idx="12">
                        <c:v>1340</c:v>
                      </c:pt>
                      <c:pt idx="13">
                        <c:v>1340</c:v>
                      </c:pt>
                      <c:pt idx="14">
                        <c:v>1340</c:v>
                      </c:pt>
                      <c:pt idx="15">
                        <c:v>1562.5</c:v>
                      </c:pt>
                      <c:pt idx="16">
                        <c:v>1562.5</c:v>
                      </c:pt>
                      <c:pt idx="17">
                        <c:v>1562.5</c:v>
                      </c:pt>
                      <c:pt idx="18">
                        <c:v>1562.5</c:v>
                      </c:pt>
                      <c:pt idx="19">
                        <c:v>1747.5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C1DA-4615-B252-C8B55A1EF76C}"/>
                  </c:ext>
                </c:extLst>
              </c15:ser>
            </c15:filteredScatterSeries>
          </c:ext>
        </c:extLst>
      </c:scatterChart>
      <c:valAx>
        <c:axId val="67245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45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74436090225563911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73CAF9C-B7C2-1647-54A2-BCBD149EF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ejv/issues/oejv0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ht="12.95" customHeight="1" x14ac:dyDescent="0.2">
      <c r="A2" t="s">
        <v>24</v>
      </c>
      <c r="B2" t="s">
        <v>37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>
        <v>26308.35</v>
      </c>
      <c r="D4" s="9">
        <v>6.6450880000000003</v>
      </c>
    </row>
    <row r="5" spans="1:6" ht="12.95" customHeight="1" thickTop="1" x14ac:dyDescent="0.2">
      <c r="A5" s="11" t="s">
        <v>29</v>
      </c>
      <c r="B5" s="12"/>
      <c r="C5" s="13">
        <v>-9.5</v>
      </c>
      <c r="D5" s="12" t="s">
        <v>30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>
        <v>51869.578000000001</v>
      </c>
      <c r="D7" s="62" t="s">
        <v>96</v>
      </c>
    </row>
    <row r="8" spans="1:6" ht="12.95" customHeight="1" x14ac:dyDescent="0.2">
      <c r="A8" t="s">
        <v>3</v>
      </c>
      <c r="C8">
        <v>4.6121999999999996</v>
      </c>
      <c r="D8" s="62" t="s">
        <v>96</v>
      </c>
      <c r="E8" s="62" t="s">
        <v>97</v>
      </c>
    </row>
    <row r="9" spans="1:6" ht="12.95" customHeight="1" x14ac:dyDescent="0.2">
      <c r="A9" s="25" t="s">
        <v>33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6" ht="12.95" customHeight="1" x14ac:dyDescent="0.2">
      <c r="A11" s="12" t="s">
        <v>16</v>
      </c>
      <c r="B11" s="12"/>
      <c r="C11" s="22">
        <f ca="1">INTERCEPT(INDIRECT($D$9):G992,INDIRECT($C$9):F992)</f>
        <v>-2.1927837226364821E-2</v>
      </c>
      <c r="D11" s="3"/>
      <c r="E11" s="12"/>
    </row>
    <row r="12" spans="1:6" ht="12.95" customHeight="1" x14ac:dyDescent="0.2">
      <c r="A12" s="12" t="s">
        <v>17</v>
      </c>
      <c r="B12" s="12"/>
      <c r="C12" s="22">
        <f ca="1">SLOPE(INDIRECT($D$9):G992,INDIRECT($C$9):F992)</f>
        <v>5.762887253762574E-5</v>
      </c>
      <c r="D12" s="3"/>
      <c r="E12" s="63" t="s">
        <v>92</v>
      </c>
      <c r="F12" s="64" t="s">
        <v>95</v>
      </c>
    </row>
    <row r="13" spans="1:6" ht="12.95" customHeight="1" x14ac:dyDescent="0.2">
      <c r="A13" s="12" t="s">
        <v>19</v>
      </c>
      <c r="B13" s="12"/>
      <c r="C13" s="3" t="s">
        <v>14</v>
      </c>
      <c r="E13" s="65" t="s">
        <v>38</v>
      </c>
      <c r="F13" s="66">
        <v>1</v>
      </c>
    </row>
    <row r="14" spans="1:6" ht="12.95" customHeight="1" x14ac:dyDescent="0.2">
      <c r="A14" s="12"/>
      <c r="B14" s="12"/>
      <c r="C14" s="12"/>
      <c r="E14" s="65" t="s">
        <v>31</v>
      </c>
      <c r="F14" s="67">
        <f ca="1">NOW()+15018.5+$C$5/24</f>
        <v>60510.699397222219</v>
      </c>
    </row>
    <row r="15" spans="1:6" ht="12.95" customHeight="1" x14ac:dyDescent="0.2">
      <c r="A15" s="14" t="s">
        <v>18</v>
      </c>
      <c r="B15" s="12"/>
      <c r="C15" s="15">
        <f ca="1">(C7+C11)+(C8+C12)*INT(MAX(F21:F3533))</f>
        <v>59927.170149803103</v>
      </c>
      <c r="E15" s="65" t="s">
        <v>39</v>
      </c>
      <c r="F15" s="67">
        <f ca="1">ROUND(2*($F$14-$C$7)/$C$8,0)/2+$F$13</f>
        <v>1874.5</v>
      </c>
    </row>
    <row r="16" spans="1:6" ht="12.95" customHeight="1" x14ac:dyDescent="0.2">
      <c r="A16" s="17" t="s">
        <v>4</v>
      </c>
      <c r="B16" s="12"/>
      <c r="C16" s="18">
        <f ca="1">+C8+C12</f>
        <v>4.6122576288725377</v>
      </c>
      <c r="E16" s="65" t="s">
        <v>32</v>
      </c>
      <c r="F16" s="67">
        <f ca="1">ROUND(2*($F$14-$C$15)/$C$16,0)/2+$F$13</f>
        <v>127.5</v>
      </c>
    </row>
    <row r="17" spans="1:19" ht="12.95" customHeight="1" thickBot="1" x14ac:dyDescent="0.25">
      <c r="A17" s="16" t="s">
        <v>28</v>
      </c>
      <c r="B17" s="12"/>
      <c r="C17" s="12">
        <f>COUNT(C21:C2191)</f>
        <v>20</v>
      </c>
      <c r="E17" s="65" t="s">
        <v>93</v>
      </c>
      <c r="F17" s="68">
        <f ca="1">+$C$15+$C$16*$F$16-15018.5-$C$5/24</f>
        <v>45497.128830817688</v>
      </c>
    </row>
    <row r="18" spans="1:19" ht="12.95" customHeight="1" thickTop="1" thickBot="1" x14ac:dyDescent="0.25">
      <c r="A18" s="17" t="s">
        <v>5</v>
      </c>
      <c r="B18" s="12"/>
      <c r="C18" s="20">
        <f ca="1">+C15</f>
        <v>59927.170149803103</v>
      </c>
      <c r="D18" s="21">
        <f ca="1">+C16</f>
        <v>4.6122576288725377</v>
      </c>
      <c r="E18" s="70" t="s">
        <v>94</v>
      </c>
      <c r="F18" s="69">
        <f ca="1">+($C$15+$C$16*$F$16)-($C$16/2)-15018.5-$C$5/24</f>
        <v>45494.82270200325</v>
      </c>
    </row>
    <row r="19" spans="1:19" ht="12.95" customHeight="1" thickTop="1" x14ac:dyDescent="0.2">
      <c r="E19" s="16"/>
      <c r="F19" s="19"/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S20" s="72" t="s">
        <v>98</v>
      </c>
    </row>
    <row r="21" spans="1:19" ht="12.95" customHeight="1" x14ac:dyDescent="0.2">
      <c r="A21" t="s">
        <v>12</v>
      </c>
      <c r="C21" s="54">
        <v>26308.35</v>
      </c>
      <c r="D21" s="10" t="s">
        <v>14</v>
      </c>
      <c r="E21">
        <f>+(C21-C$7)/C$8</f>
        <v>-5542.0901088417686</v>
      </c>
      <c r="F21">
        <f>ROUND(2*E21,0)/2</f>
        <v>-5542</v>
      </c>
      <c r="G21">
        <f>+C21-(C$7+F21*C$8)</f>
        <v>-0.41560000000390573</v>
      </c>
      <c r="H21">
        <f>+G21</f>
        <v>-0.41560000000390573</v>
      </c>
      <c r="O21">
        <f ca="1">+C$11+C$12*$F21</f>
        <v>-0.34130704882988666</v>
      </c>
      <c r="Q21" s="2">
        <f>+C21-15018.5</f>
        <v>11289.849999999999</v>
      </c>
    </row>
    <row r="22" spans="1:19" ht="12.95" customHeight="1" x14ac:dyDescent="0.2">
      <c r="A22" s="42" t="s">
        <v>56</v>
      </c>
      <c r="B22" s="43" t="s">
        <v>36</v>
      </c>
      <c r="C22" s="56">
        <v>26308.415000000001</v>
      </c>
      <c r="D22" s="42" t="s">
        <v>50</v>
      </c>
      <c r="E22">
        <f>+(C22-C$7)/C$8</f>
        <v>-5542.0760157842251</v>
      </c>
      <c r="F22">
        <f>ROUND(2*E22,0)/2</f>
        <v>-5542</v>
      </c>
      <c r="G22">
        <f>+C22-(C$7+F22*C$8)</f>
        <v>-0.35060000000157743</v>
      </c>
      <c r="I22">
        <f>+G22</f>
        <v>-0.35060000000157743</v>
      </c>
      <c r="O22">
        <f ca="1">+C$11+C$12*$F22</f>
        <v>-0.34130704882988666</v>
      </c>
      <c r="Q22" s="2">
        <f>+C22-15018.5</f>
        <v>11289.915000000001</v>
      </c>
    </row>
    <row r="23" spans="1:19" ht="12.95" customHeight="1" x14ac:dyDescent="0.2">
      <c r="A23" s="44" t="s">
        <v>56</v>
      </c>
      <c r="B23" s="46" t="s">
        <v>36</v>
      </c>
      <c r="C23" s="57">
        <v>36820.603000000003</v>
      </c>
      <c r="D23" s="45" t="s">
        <v>50</v>
      </c>
      <c r="E23">
        <f>+(C23-C$7)/C$8</f>
        <v>-3262.8626252113959</v>
      </c>
      <c r="F23">
        <f>ROUND(2*E23,0)/2</f>
        <v>-3263</v>
      </c>
      <c r="O23">
        <f ca="1">+C$11+C$12*$F23</f>
        <v>-0.20997084831663762</v>
      </c>
      <c r="Q23" s="2">
        <f>+C23-15018.5</f>
        <v>21802.103000000003</v>
      </c>
      <c r="S23">
        <f>+C23-(C$7+F23*C$8)</f>
        <v>0.63360000000102445</v>
      </c>
    </row>
    <row r="24" spans="1:19" ht="12.95" customHeight="1" x14ac:dyDescent="0.2">
      <c r="A24" s="44" t="s">
        <v>56</v>
      </c>
      <c r="B24" s="46" t="s">
        <v>36</v>
      </c>
      <c r="C24" s="57">
        <v>36840.481</v>
      </c>
      <c r="D24" s="45" t="s">
        <v>50</v>
      </c>
      <c r="E24">
        <f>+(C24-C$7)/C$8</f>
        <v>-3258.5527513984657</v>
      </c>
      <c r="F24">
        <f>ROUND(2*E24,0)/2</f>
        <v>-3258.5</v>
      </c>
      <c r="G24">
        <f>+C24-(C$7+F24*C$8)</f>
        <v>-0.24330000000190921</v>
      </c>
      <c r="I24">
        <f>+G24</f>
        <v>-0.24330000000190921</v>
      </c>
      <c r="O24">
        <f ca="1">+C$11+C$12*$F24</f>
        <v>-0.20971151839021829</v>
      </c>
      <c r="Q24" s="2">
        <f>+C24-15018.5</f>
        <v>21821.981</v>
      </c>
    </row>
    <row r="25" spans="1:19" ht="12.95" customHeight="1" x14ac:dyDescent="0.2">
      <c r="A25" s="44" t="s">
        <v>56</v>
      </c>
      <c r="B25" s="46" t="s">
        <v>36</v>
      </c>
      <c r="C25" s="57">
        <v>36840.525999999998</v>
      </c>
      <c r="D25" s="45" t="s">
        <v>50</v>
      </c>
      <c r="E25">
        <f>+(C25-C$7)/C$8</f>
        <v>-3258.5429946663207</v>
      </c>
      <c r="F25">
        <f>ROUND(2*E25,0)/2</f>
        <v>-3258.5</v>
      </c>
      <c r="G25">
        <f>+C25-(C$7+F25*C$8)</f>
        <v>-0.19830000000365544</v>
      </c>
      <c r="I25">
        <f>+G25</f>
        <v>-0.19830000000365544</v>
      </c>
      <c r="O25">
        <f ca="1">+C$11+C$12*$F25</f>
        <v>-0.20971151839021829</v>
      </c>
      <c r="Q25" s="2">
        <f>+C25-15018.5</f>
        <v>21822.025999999998</v>
      </c>
    </row>
    <row r="26" spans="1:19" x14ac:dyDescent="0.2">
      <c r="A26" s="44" t="s">
        <v>56</v>
      </c>
      <c r="B26" s="46" t="s">
        <v>36</v>
      </c>
      <c r="C26" s="57">
        <v>36847.464999999997</v>
      </c>
      <c r="D26" s="45" t="s">
        <v>50</v>
      </c>
      <c r="E26">
        <f>+(C26-C$7)/C$8</f>
        <v>-3257.0385065695341</v>
      </c>
      <c r="F26">
        <f>ROUND(2*E26,0)/2</f>
        <v>-3257</v>
      </c>
      <c r="G26">
        <f>+C26-(C$7+F26*C$8)</f>
        <v>-0.17760000000998843</v>
      </c>
      <c r="I26">
        <f>+G26</f>
        <v>-0.17760000000998843</v>
      </c>
      <c r="O26">
        <f ca="1">+C$11+C$12*$F26</f>
        <v>-0.20962507508141184</v>
      </c>
      <c r="Q26" s="2">
        <f>+C26-15018.5</f>
        <v>21828.964999999997</v>
      </c>
    </row>
    <row r="27" spans="1:19" x14ac:dyDescent="0.2">
      <c r="A27" s="44" t="s">
        <v>56</v>
      </c>
      <c r="B27" s="46" t="s">
        <v>36</v>
      </c>
      <c r="C27" s="57">
        <v>36847.51</v>
      </c>
      <c r="D27" s="45" t="s">
        <v>50</v>
      </c>
      <c r="E27">
        <f>+(C27-C$7)/C$8</f>
        <v>-3257.0287498373877</v>
      </c>
      <c r="F27">
        <f>ROUND(2*E27,0)/2</f>
        <v>-3257</v>
      </c>
      <c r="G27">
        <f>+C27-(C$7+F27*C$8)</f>
        <v>-0.13260000000445871</v>
      </c>
      <c r="I27">
        <f>+G27</f>
        <v>-0.13260000000445871</v>
      </c>
      <c r="O27">
        <f ca="1">+C$11+C$12*$F27</f>
        <v>-0.20962507508141184</v>
      </c>
      <c r="Q27" s="2">
        <f>+C27-15018.5</f>
        <v>21829.010000000002</v>
      </c>
    </row>
    <row r="28" spans="1:19" x14ac:dyDescent="0.2">
      <c r="A28" s="44" t="s">
        <v>56</v>
      </c>
      <c r="B28" s="46" t="s">
        <v>36</v>
      </c>
      <c r="C28" s="57">
        <v>37578.459000000003</v>
      </c>
      <c r="D28" s="45" t="s">
        <v>50</v>
      </c>
      <c r="E28">
        <f>+(C28-C$7)/C$8</f>
        <v>-3098.5471141754479</v>
      </c>
      <c r="F28">
        <f>ROUND(2*E28,0)/2</f>
        <v>-3098.5</v>
      </c>
      <c r="G28">
        <f>+C28-(C$7+F28*C$8)</f>
        <v>-0.21730000000388827</v>
      </c>
      <c r="I28">
        <f>+G28</f>
        <v>-0.21730000000388827</v>
      </c>
      <c r="O28">
        <f ca="1">+C$11+C$12*$F28</f>
        <v>-0.20049089878419818</v>
      </c>
      <c r="Q28" s="2">
        <f>+C28-15018.5</f>
        <v>22559.959000000003</v>
      </c>
    </row>
    <row r="29" spans="1:19" x14ac:dyDescent="0.2">
      <c r="A29" s="44" t="s">
        <v>56</v>
      </c>
      <c r="B29" s="46" t="s">
        <v>36</v>
      </c>
      <c r="C29" s="57">
        <v>37578.512000000002</v>
      </c>
      <c r="D29" s="45" t="s">
        <v>50</v>
      </c>
      <c r="E29">
        <f>+(C29-C$7)/C$8</f>
        <v>-3098.5356229131435</v>
      </c>
      <c r="F29">
        <f>ROUND(2*E29,0)/2</f>
        <v>-3098.5</v>
      </c>
      <c r="G29">
        <f>+C29-(C$7+F29*C$8)</f>
        <v>-0.16430000000400469</v>
      </c>
      <c r="I29">
        <f>+G29</f>
        <v>-0.16430000000400469</v>
      </c>
      <c r="O29">
        <f ca="1">+C$11+C$12*$F29</f>
        <v>-0.20049089878419818</v>
      </c>
      <c r="Q29" s="2">
        <f>+C29-15018.5</f>
        <v>22560.012000000002</v>
      </c>
    </row>
    <row r="30" spans="1:19" x14ac:dyDescent="0.2">
      <c r="A30" s="71" t="s">
        <v>96</v>
      </c>
      <c r="C30" s="54">
        <v>51869.578000000001</v>
      </c>
      <c r="D30" s="10"/>
      <c r="E30">
        <f>+(C30-C$7)/C$8</f>
        <v>0</v>
      </c>
      <c r="F30">
        <f>ROUND(2*E30,0)/2</f>
        <v>0</v>
      </c>
      <c r="G30">
        <f>+C30-(C$7+F30*C$8)</f>
        <v>0</v>
      </c>
      <c r="K30">
        <f>+G30</f>
        <v>0</v>
      </c>
      <c r="O30">
        <f ca="1">+C$11+C$12*$F30</f>
        <v>-2.1927837226364821E-2</v>
      </c>
      <c r="Q30" s="2">
        <f>+C30-15018.5</f>
        <v>36851.078000000001</v>
      </c>
    </row>
    <row r="31" spans="1:19" x14ac:dyDescent="0.2">
      <c r="A31" s="27" t="s">
        <v>35</v>
      </c>
      <c r="B31" s="28" t="s">
        <v>36</v>
      </c>
      <c r="C31" s="55">
        <v>54067.319999999832</v>
      </c>
      <c r="D31" s="27">
        <v>0.01</v>
      </c>
      <c r="E31">
        <f>+(C31-C$7)/C$8</f>
        <v>476.50622262690933</v>
      </c>
      <c r="F31">
        <f>ROUND(2*E31,0)/2</f>
        <v>476.5</v>
      </c>
      <c r="G31">
        <f>+C31-(C$7+F31*C$8)</f>
        <v>2.8699999827949796E-2</v>
      </c>
      <c r="I31">
        <f>+G31</f>
        <v>2.8699999827949796E-2</v>
      </c>
      <c r="O31">
        <f ca="1">+C$11+C$12*$F31</f>
        <v>5.5323205378138424E-3</v>
      </c>
      <c r="Q31" s="2">
        <f>+C31-15018.5</f>
        <v>39048.819999999832</v>
      </c>
    </row>
    <row r="32" spans="1:19" x14ac:dyDescent="0.2">
      <c r="A32" s="44" t="s">
        <v>84</v>
      </c>
      <c r="B32" s="46" t="s">
        <v>85</v>
      </c>
      <c r="C32" s="57">
        <v>54067.32</v>
      </c>
      <c r="D32" s="45" t="s">
        <v>50</v>
      </c>
      <c r="E32">
        <f>+(C32-C$7)/C$8</f>
        <v>476.5062226269456</v>
      </c>
      <c r="F32">
        <f>ROUND(2*E32,0)/2</f>
        <v>476.5</v>
      </c>
      <c r="G32">
        <f>+C32-(C$7+F32*C$8)</f>
        <v>2.8699999995296821E-2</v>
      </c>
      <c r="I32">
        <f>+G32</f>
        <v>2.8699999995296821E-2</v>
      </c>
      <c r="O32">
        <f ca="1">+C$11+C$12*$F32</f>
        <v>5.5323205378138424E-3</v>
      </c>
      <c r="Q32" s="2">
        <f>+C32-15018.5</f>
        <v>39048.82</v>
      </c>
    </row>
    <row r="33" spans="1:17" x14ac:dyDescent="0.2">
      <c r="A33" s="47" t="s">
        <v>86</v>
      </c>
      <c r="B33" s="48" t="s">
        <v>36</v>
      </c>
      <c r="C33" s="58">
        <v>58049.974499999997</v>
      </c>
      <c r="D33" s="49" t="s">
        <v>49</v>
      </c>
      <c r="E33">
        <f>+(C33-C$7)/C$8</f>
        <v>1340.010515589089</v>
      </c>
      <c r="F33">
        <f>ROUND(2*E33,0)/2</f>
        <v>1340</v>
      </c>
      <c r="G33">
        <f>+C33-(C$7+F33*C$8)</f>
        <v>4.8499999997147825E-2</v>
      </c>
      <c r="K33">
        <f>+G33</f>
        <v>4.8499999997147825E-2</v>
      </c>
      <c r="O33">
        <f ca="1">+C$11+C$12*$F33</f>
        <v>5.5294851974053677E-2</v>
      </c>
      <c r="Q33" s="2">
        <f>+C33-15018.5</f>
        <v>43031.474499999997</v>
      </c>
    </row>
    <row r="34" spans="1:17" x14ac:dyDescent="0.2">
      <c r="A34" s="47" t="s">
        <v>86</v>
      </c>
      <c r="B34" s="48" t="s">
        <v>36</v>
      </c>
      <c r="C34" s="58">
        <v>58049.977400000003</v>
      </c>
      <c r="D34" s="49" t="s">
        <v>87</v>
      </c>
      <c r="E34">
        <f>+(C34-C$7)/C$8</f>
        <v>1340.011144356273</v>
      </c>
      <c r="F34">
        <f>ROUND(2*E34,0)/2</f>
        <v>1340</v>
      </c>
      <c r="G34">
        <f>+C34-(C$7+F34*C$8)</f>
        <v>5.1400000003923196E-2</v>
      </c>
      <c r="K34">
        <f>+G34</f>
        <v>5.1400000003923196E-2</v>
      </c>
      <c r="O34">
        <f ca="1">+C$11+C$12*$F34</f>
        <v>5.5294851974053677E-2</v>
      </c>
      <c r="Q34" s="2">
        <f>+C34-15018.5</f>
        <v>43031.477400000003</v>
      </c>
    </row>
    <row r="35" spans="1:17" x14ac:dyDescent="0.2">
      <c r="A35" s="47" t="s">
        <v>86</v>
      </c>
      <c r="B35" s="48" t="s">
        <v>36</v>
      </c>
      <c r="C35" s="58">
        <v>58049.978799999997</v>
      </c>
      <c r="D35" s="49" t="s">
        <v>88</v>
      </c>
      <c r="E35">
        <f>+(C35-C$7)/C$8</f>
        <v>1340.0114478990495</v>
      </c>
      <c r="F35">
        <f>ROUND(2*E35,0)/2</f>
        <v>1340</v>
      </c>
      <c r="G35">
        <f>+C35-(C$7+F35*C$8)</f>
        <v>5.2799999997660052E-2</v>
      </c>
      <c r="K35">
        <f>+G35</f>
        <v>5.2799999997660052E-2</v>
      </c>
      <c r="O35">
        <f ca="1">+C$11+C$12*$F35</f>
        <v>5.5294851974053677E-2</v>
      </c>
      <c r="Q35" s="2">
        <f>+C35-15018.5</f>
        <v>43031.478799999997</v>
      </c>
    </row>
    <row r="36" spans="1:17" x14ac:dyDescent="0.2">
      <c r="A36" s="50" t="s">
        <v>89</v>
      </c>
      <c r="B36" s="51" t="s">
        <v>36</v>
      </c>
      <c r="C36" s="59">
        <v>59076.192000000003</v>
      </c>
      <c r="D36" s="52" t="s">
        <v>87</v>
      </c>
      <c r="E36">
        <f>+(C36-C$7)/C$8</f>
        <v>1562.5111660379</v>
      </c>
      <c r="F36">
        <f>ROUND(2*E36,0)/2</f>
        <v>1562.5</v>
      </c>
      <c r="G36">
        <f>+C36-(C$7+F36*C$8)</f>
        <v>5.1500000001396984E-2</v>
      </c>
      <c r="K36">
        <f>+G36</f>
        <v>5.1500000001396984E-2</v>
      </c>
      <c r="O36">
        <f ca="1">+C$11+C$12*$F36</f>
        <v>6.8117276113675393E-2</v>
      </c>
      <c r="Q36" s="2">
        <f>+C36-15018.5</f>
        <v>44057.692000000003</v>
      </c>
    </row>
    <row r="37" spans="1:17" x14ac:dyDescent="0.2">
      <c r="A37" s="50" t="s">
        <v>89</v>
      </c>
      <c r="B37" s="51" t="s">
        <v>36</v>
      </c>
      <c r="C37" s="59">
        <v>59076.192999999999</v>
      </c>
      <c r="D37" s="52" t="s">
        <v>90</v>
      </c>
      <c r="E37">
        <f>+(C37-C$7)/C$8</f>
        <v>1562.5113828541691</v>
      </c>
      <c r="F37">
        <f>ROUND(2*E37,0)/2</f>
        <v>1562.5</v>
      </c>
      <c r="G37">
        <f>+C37-(C$7+F37*C$8)</f>
        <v>5.2499999997962732E-2</v>
      </c>
      <c r="K37">
        <f>+G37</f>
        <v>5.2499999997962732E-2</v>
      </c>
      <c r="O37">
        <f ca="1">+C$11+C$12*$F37</f>
        <v>6.8117276113675393E-2</v>
      </c>
      <c r="Q37" s="2">
        <f>+C37-15018.5</f>
        <v>44057.692999999999</v>
      </c>
    </row>
    <row r="38" spans="1:17" x14ac:dyDescent="0.2">
      <c r="A38" s="50" t="s">
        <v>89</v>
      </c>
      <c r="B38" s="51" t="s">
        <v>36</v>
      </c>
      <c r="C38" s="59">
        <v>59076.192999999999</v>
      </c>
      <c r="D38" s="52" t="s">
        <v>49</v>
      </c>
      <c r="E38">
        <f>+(C38-C$7)/C$8</f>
        <v>1562.5113828541691</v>
      </c>
      <c r="F38">
        <f>ROUND(2*E38,0)/2</f>
        <v>1562.5</v>
      </c>
      <c r="G38">
        <f>+C38-(C$7+F38*C$8)</f>
        <v>5.2499999997962732E-2</v>
      </c>
      <c r="K38">
        <f>+G38</f>
        <v>5.2499999997962732E-2</v>
      </c>
      <c r="O38">
        <f ca="1">+C$11+C$12*$F38</f>
        <v>6.8117276113675393E-2</v>
      </c>
      <c r="Q38" s="2">
        <f>+C38-15018.5</f>
        <v>44057.692999999999</v>
      </c>
    </row>
    <row r="39" spans="1:17" x14ac:dyDescent="0.2">
      <c r="A39" s="50" t="s">
        <v>89</v>
      </c>
      <c r="B39" s="51" t="s">
        <v>36</v>
      </c>
      <c r="C39" s="59">
        <v>59076.196000000004</v>
      </c>
      <c r="D39" s="52" t="s">
        <v>88</v>
      </c>
      <c r="E39">
        <f>+(C39-C$7)/C$8</f>
        <v>1562.5120333029797</v>
      </c>
      <c r="F39">
        <f>ROUND(2*E39,0)/2</f>
        <v>1562.5</v>
      </c>
      <c r="G39">
        <f>+C39-(C$7+F39*C$8)</f>
        <v>5.5500000002211891E-2</v>
      </c>
      <c r="K39">
        <f>+G39</f>
        <v>5.5500000002211891E-2</v>
      </c>
      <c r="O39">
        <f ca="1">+C$11+C$12*$F39</f>
        <v>6.8117276113675393E-2</v>
      </c>
      <c r="Q39" s="2">
        <f>+C39-15018.5</f>
        <v>44057.696000000004</v>
      </c>
    </row>
    <row r="40" spans="1:17" x14ac:dyDescent="0.2">
      <c r="A40" s="53" t="s">
        <v>91</v>
      </c>
      <c r="B40" s="53" t="s">
        <v>36</v>
      </c>
      <c r="C40" s="60">
        <v>59929.458999999799</v>
      </c>
      <c r="D40" s="61">
        <v>5.0000000000000001E-3</v>
      </c>
      <c r="E40">
        <f>+(C40-C$7)/C$8</f>
        <v>1747.5133342005547</v>
      </c>
      <c r="F40">
        <f>ROUND(2*E40,0)/2</f>
        <v>1747.5</v>
      </c>
      <c r="G40">
        <f>+C40-(C$7+F40*C$8)</f>
        <v>6.1499999799707439E-2</v>
      </c>
      <c r="K40">
        <f>+G40</f>
        <v>6.1499999799707439E-2</v>
      </c>
      <c r="O40">
        <f ca="1">+C$11+C$12*$F40</f>
        <v>7.8778617533136155E-2</v>
      </c>
      <c r="Q40" s="2">
        <f>+C40-15018.5</f>
        <v>44910.958999999799</v>
      </c>
    </row>
    <row r="41" spans="1:17" x14ac:dyDescent="0.2">
      <c r="C41" s="54"/>
      <c r="D41" s="10"/>
    </row>
    <row r="42" spans="1:17" x14ac:dyDescent="0.2">
      <c r="C42" s="54"/>
      <c r="D42" s="10"/>
    </row>
    <row r="43" spans="1:17" x14ac:dyDescent="0.2">
      <c r="C43" s="54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5:D38" name="Range1"/>
  </protectedRanges>
  <sortState xmlns:xlrd2="http://schemas.microsoft.com/office/spreadsheetml/2017/richdata2" ref="A21:W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9"/>
  <sheetViews>
    <sheetView workbookViewId="0">
      <selection activeCell="A11" sqref="A11:D1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9" t="s">
        <v>40</v>
      </c>
      <c r="I1" s="30" t="s">
        <v>41</v>
      </c>
      <c r="J1" s="31" t="s">
        <v>42</v>
      </c>
    </row>
    <row r="2" spans="1:16" x14ac:dyDescent="0.2">
      <c r="I2" s="32" t="s">
        <v>43</v>
      </c>
      <c r="J2" s="33" t="s">
        <v>44</v>
      </c>
    </row>
    <row r="3" spans="1:16" x14ac:dyDescent="0.2">
      <c r="A3" s="34" t="s">
        <v>45</v>
      </c>
      <c r="I3" s="32" t="s">
        <v>46</v>
      </c>
      <c r="J3" s="33" t="s">
        <v>47</v>
      </c>
    </row>
    <row r="4" spans="1:16" x14ac:dyDescent="0.2">
      <c r="I4" s="32" t="s">
        <v>48</v>
      </c>
      <c r="J4" s="33" t="s">
        <v>47</v>
      </c>
    </row>
    <row r="5" spans="1:16" ht="13.5" thickBot="1" x14ac:dyDescent="0.25">
      <c r="I5" s="35" t="s">
        <v>49</v>
      </c>
      <c r="J5" s="36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19" si="0">P11</f>
        <v> MVS 651 </v>
      </c>
      <c r="B11" s="3" t="str">
        <f t="shared" ref="B11:B19" si="1">IF(H11=INT(H11),"I","II")</f>
        <v>I</v>
      </c>
      <c r="C11" s="10">
        <f t="shared" ref="C11:C19" si="2">1*G11</f>
        <v>26308.415000000001</v>
      </c>
      <c r="D11" s="12" t="str">
        <f t="shared" ref="D11:D19" si="3">VLOOKUP(F11,I$1:J$5,2,FALSE)</f>
        <v>vis</v>
      </c>
      <c r="E11" s="37">
        <f>VLOOKUP(C11,Active!C$21:E$973,3,FALSE)</f>
        <v>-5542.0760157842251</v>
      </c>
      <c r="F11" s="3" t="s">
        <v>49</v>
      </c>
      <c r="G11" s="12" t="str">
        <f t="shared" ref="G11:G19" si="4">MID(I11,3,LEN(I11)-3)</f>
        <v>26308.415</v>
      </c>
      <c r="H11" s="10">
        <f t="shared" ref="H11:H19" si="5">1*K11</f>
        <v>0</v>
      </c>
      <c r="I11" s="38" t="s">
        <v>51</v>
      </c>
      <c r="J11" s="39" t="s">
        <v>52</v>
      </c>
      <c r="K11" s="38">
        <v>0</v>
      </c>
      <c r="L11" s="38" t="s">
        <v>53</v>
      </c>
      <c r="M11" s="39" t="s">
        <v>54</v>
      </c>
      <c r="N11" s="39"/>
      <c r="O11" s="40" t="s">
        <v>55</v>
      </c>
      <c r="P11" s="40" t="s">
        <v>56</v>
      </c>
    </row>
    <row r="12" spans="1:16" ht="12.75" customHeight="1" thickBot="1" x14ac:dyDescent="0.25">
      <c r="A12" s="10" t="str">
        <f t="shared" si="0"/>
        <v> MVS 651 </v>
      </c>
      <c r="B12" s="3" t="str">
        <f t="shared" si="1"/>
        <v>I</v>
      </c>
      <c r="C12" s="10">
        <f t="shared" si="2"/>
        <v>36820.603000000003</v>
      </c>
      <c r="D12" s="12" t="str">
        <f t="shared" si="3"/>
        <v>vis</v>
      </c>
      <c r="E12" s="37">
        <f>VLOOKUP(C12,Active!C$21:E$973,3,FALSE)</f>
        <v>-3262.8626252113959</v>
      </c>
      <c r="F12" s="3" t="s">
        <v>49</v>
      </c>
      <c r="G12" s="12" t="str">
        <f t="shared" si="4"/>
        <v>36820.603</v>
      </c>
      <c r="H12" s="10">
        <f t="shared" si="5"/>
        <v>1582</v>
      </c>
      <c r="I12" s="38" t="s">
        <v>57</v>
      </c>
      <c r="J12" s="39" t="s">
        <v>58</v>
      </c>
      <c r="K12" s="38">
        <v>1582</v>
      </c>
      <c r="L12" s="38" t="s">
        <v>59</v>
      </c>
      <c r="M12" s="39" t="s">
        <v>54</v>
      </c>
      <c r="N12" s="39"/>
      <c r="O12" s="40" t="s">
        <v>55</v>
      </c>
      <c r="P12" s="40" t="s">
        <v>56</v>
      </c>
    </row>
    <row r="13" spans="1:16" ht="12.75" customHeight="1" thickBot="1" x14ac:dyDescent="0.25">
      <c r="A13" s="10" t="str">
        <f t="shared" si="0"/>
        <v> MVS 651 </v>
      </c>
      <c r="B13" s="3" t="str">
        <f t="shared" si="1"/>
        <v>I</v>
      </c>
      <c r="C13" s="10">
        <f t="shared" si="2"/>
        <v>36840.481</v>
      </c>
      <c r="D13" s="12" t="str">
        <f t="shared" si="3"/>
        <v>vis</v>
      </c>
      <c r="E13" s="37">
        <f>VLOOKUP(C13,Active!C$21:E$973,3,FALSE)</f>
        <v>-3258.5527513984657</v>
      </c>
      <c r="F13" s="3" t="s">
        <v>49</v>
      </c>
      <c r="G13" s="12" t="str">
        <f t="shared" si="4"/>
        <v>36840.481</v>
      </c>
      <c r="H13" s="10">
        <f t="shared" si="5"/>
        <v>1585</v>
      </c>
      <c r="I13" s="38" t="s">
        <v>60</v>
      </c>
      <c r="J13" s="39" t="s">
        <v>61</v>
      </c>
      <c r="K13" s="38">
        <v>1585</v>
      </c>
      <c r="L13" s="38" t="s">
        <v>62</v>
      </c>
      <c r="M13" s="39" t="s">
        <v>54</v>
      </c>
      <c r="N13" s="39"/>
      <c r="O13" s="40" t="s">
        <v>55</v>
      </c>
      <c r="P13" s="40" t="s">
        <v>56</v>
      </c>
    </row>
    <row r="14" spans="1:16" ht="12.75" customHeight="1" thickBot="1" x14ac:dyDescent="0.25">
      <c r="A14" s="10" t="str">
        <f t="shared" si="0"/>
        <v> MVS 651 </v>
      </c>
      <c r="B14" s="3" t="str">
        <f t="shared" si="1"/>
        <v>I</v>
      </c>
      <c r="C14" s="10">
        <f t="shared" si="2"/>
        <v>36840.525999999998</v>
      </c>
      <c r="D14" s="12" t="str">
        <f t="shared" si="3"/>
        <v>vis</v>
      </c>
      <c r="E14" s="37">
        <f>VLOOKUP(C14,Active!C$21:E$973,3,FALSE)</f>
        <v>-3258.5429946663207</v>
      </c>
      <c r="F14" s="3" t="s">
        <v>49</v>
      </c>
      <c r="G14" s="12" t="str">
        <f t="shared" si="4"/>
        <v>36840.526</v>
      </c>
      <c r="H14" s="10">
        <f t="shared" si="5"/>
        <v>1585</v>
      </c>
      <c r="I14" s="38" t="s">
        <v>63</v>
      </c>
      <c r="J14" s="39" t="s">
        <v>64</v>
      </c>
      <c r="K14" s="38">
        <v>1585</v>
      </c>
      <c r="L14" s="38" t="s">
        <v>65</v>
      </c>
      <c r="M14" s="39" t="s">
        <v>54</v>
      </c>
      <c r="N14" s="39"/>
      <c r="O14" s="40" t="s">
        <v>55</v>
      </c>
      <c r="P14" s="40" t="s">
        <v>56</v>
      </c>
    </row>
    <row r="15" spans="1:16" ht="12.75" customHeight="1" thickBot="1" x14ac:dyDescent="0.25">
      <c r="A15" s="10" t="str">
        <f t="shared" si="0"/>
        <v> MVS 651 </v>
      </c>
      <c r="B15" s="3" t="str">
        <f t="shared" si="1"/>
        <v>I</v>
      </c>
      <c r="C15" s="10">
        <f t="shared" si="2"/>
        <v>36847.464999999997</v>
      </c>
      <c r="D15" s="12" t="str">
        <f t="shared" si="3"/>
        <v>vis</v>
      </c>
      <c r="E15" s="37">
        <f>VLOOKUP(C15,Active!C$21:E$973,3,FALSE)</f>
        <v>-3257.0385065695341</v>
      </c>
      <c r="F15" s="3" t="s">
        <v>49</v>
      </c>
      <c r="G15" s="12" t="str">
        <f t="shared" si="4"/>
        <v>36847.465</v>
      </c>
      <c r="H15" s="10">
        <f t="shared" si="5"/>
        <v>1586</v>
      </c>
      <c r="I15" s="38" t="s">
        <v>66</v>
      </c>
      <c r="J15" s="39" t="s">
        <v>67</v>
      </c>
      <c r="K15" s="38">
        <v>1586</v>
      </c>
      <c r="L15" s="38" t="s">
        <v>68</v>
      </c>
      <c r="M15" s="39" t="s">
        <v>54</v>
      </c>
      <c r="N15" s="39"/>
      <c r="O15" s="40" t="s">
        <v>55</v>
      </c>
      <c r="P15" s="40" t="s">
        <v>56</v>
      </c>
    </row>
    <row r="16" spans="1:16" ht="12.75" customHeight="1" thickBot="1" x14ac:dyDescent="0.25">
      <c r="A16" s="10" t="str">
        <f t="shared" si="0"/>
        <v> MVS 651 </v>
      </c>
      <c r="B16" s="3" t="str">
        <f t="shared" si="1"/>
        <v>I</v>
      </c>
      <c r="C16" s="10">
        <f t="shared" si="2"/>
        <v>36847.51</v>
      </c>
      <c r="D16" s="12" t="str">
        <f t="shared" si="3"/>
        <v>vis</v>
      </c>
      <c r="E16" s="37">
        <f>VLOOKUP(C16,Active!C$21:E$973,3,FALSE)</f>
        <v>-3257.0287498373877</v>
      </c>
      <c r="F16" s="3" t="s">
        <v>49</v>
      </c>
      <c r="G16" s="12" t="str">
        <f t="shared" si="4"/>
        <v>36847.510</v>
      </c>
      <c r="H16" s="10">
        <f t="shared" si="5"/>
        <v>1586</v>
      </c>
      <c r="I16" s="38" t="s">
        <v>69</v>
      </c>
      <c r="J16" s="39" t="s">
        <v>70</v>
      </c>
      <c r="K16" s="38">
        <v>1586</v>
      </c>
      <c r="L16" s="38" t="s">
        <v>71</v>
      </c>
      <c r="M16" s="39" t="s">
        <v>54</v>
      </c>
      <c r="N16" s="39"/>
      <c r="O16" s="40" t="s">
        <v>55</v>
      </c>
      <c r="P16" s="40" t="s">
        <v>56</v>
      </c>
    </row>
    <row r="17" spans="1:16" ht="12.75" customHeight="1" thickBot="1" x14ac:dyDescent="0.25">
      <c r="A17" s="10" t="str">
        <f t="shared" si="0"/>
        <v> MVS 651 </v>
      </c>
      <c r="B17" s="3" t="str">
        <f t="shared" si="1"/>
        <v>I</v>
      </c>
      <c r="C17" s="10">
        <f t="shared" si="2"/>
        <v>37578.459000000003</v>
      </c>
      <c r="D17" s="12" t="str">
        <f t="shared" si="3"/>
        <v>vis</v>
      </c>
      <c r="E17" s="37">
        <f>VLOOKUP(C17,Active!C$21:E$973,3,FALSE)</f>
        <v>-3098.5471141754479</v>
      </c>
      <c r="F17" s="3" t="s">
        <v>49</v>
      </c>
      <c r="G17" s="12" t="str">
        <f t="shared" si="4"/>
        <v>37578.459</v>
      </c>
      <c r="H17" s="10">
        <f t="shared" si="5"/>
        <v>1696</v>
      </c>
      <c r="I17" s="38" t="s">
        <v>72</v>
      </c>
      <c r="J17" s="39" t="s">
        <v>73</v>
      </c>
      <c r="K17" s="38">
        <v>1696</v>
      </c>
      <c r="L17" s="38" t="s">
        <v>74</v>
      </c>
      <c r="M17" s="39" t="s">
        <v>54</v>
      </c>
      <c r="N17" s="39"/>
      <c r="O17" s="40" t="s">
        <v>55</v>
      </c>
      <c r="P17" s="40" t="s">
        <v>56</v>
      </c>
    </row>
    <row r="18" spans="1:16" ht="12.75" customHeight="1" thickBot="1" x14ac:dyDescent="0.25">
      <c r="A18" s="10" t="str">
        <f t="shared" si="0"/>
        <v> MVS 651 </v>
      </c>
      <c r="B18" s="3" t="str">
        <f t="shared" si="1"/>
        <v>I</v>
      </c>
      <c r="C18" s="10">
        <f t="shared" si="2"/>
        <v>37578.512000000002</v>
      </c>
      <c r="D18" s="12" t="str">
        <f t="shared" si="3"/>
        <v>vis</v>
      </c>
      <c r="E18" s="37">
        <f>VLOOKUP(C18,Active!C$21:E$973,3,FALSE)</f>
        <v>-3098.5356229131435</v>
      </c>
      <c r="F18" s="3" t="s">
        <v>49</v>
      </c>
      <c r="G18" s="12" t="str">
        <f t="shared" si="4"/>
        <v>37578.512</v>
      </c>
      <c r="H18" s="10">
        <f t="shared" si="5"/>
        <v>1696</v>
      </c>
      <c r="I18" s="38" t="s">
        <v>75</v>
      </c>
      <c r="J18" s="39" t="s">
        <v>76</v>
      </c>
      <c r="K18" s="38">
        <v>1696</v>
      </c>
      <c r="L18" s="38" t="s">
        <v>77</v>
      </c>
      <c r="M18" s="39" t="s">
        <v>54</v>
      </c>
      <c r="N18" s="39"/>
      <c r="O18" s="40" t="s">
        <v>55</v>
      </c>
      <c r="P18" s="40" t="s">
        <v>56</v>
      </c>
    </row>
    <row r="19" spans="1:16" ht="12.75" customHeight="1" thickBot="1" x14ac:dyDescent="0.25">
      <c r="A19" s="10" t="str">
        <f t="shared" si="0"/>
        <v>OEJV 0073 </v>
      </c>
      <c r="B19" s="3" t="str">
        <f t="shared" si="1"/>
        <v>II</v>
      </c>
      <c r="C19" s="10">
        <f t="shared" si="2"/>
        <v>54067.32</v>
      </c>
      <c r="D19" s="12" t="str">
        <f t="shared" si="3"/>
        <v>vis</v>
      </c>
      <c r="E19" s="37">
        <f>VLOOKUP(C19,Active!C$21:E$973,3,FALSE)</f>
        <v>476.5062226269456</v>
      </c>
      <c r="F19" s="3" t="s">
        <v>49</v>
      </c>
      <c r="G19" s="12" t="str">
        <f t="shared" si="4"/>
        <v>54067.320</v>
      </c>
      <c r="H19" s="10">
        <f t="shared" si="5"/>
        <v>4177.5</v>
      </c>
      <c r="I19" s="38" t="s">
        <v>78</v>
      </c>
      <c r="J19" s="39" t="s">
        <v>79</v>
      </c>
      <c r="K19" s="38">
        <v>4177.5</v>
      </c>
      <c r="L19" s="38" t="s">
        <v>80</v>
      </c>
      <c r="M19" s="39" t="s">
        <v>81</v>
      </c>
      <c r="N19" s="39" t="s">
        <v>82</v>
      </c>
      <c r="O19" s="40" t="s">
        <v>83</v>
      </c>
      <c r="P19" s="41" t="s">
        <v>84</v>
      </c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</sheetData>
  <phoneticPr fontId="7" type="noConversion"/>
  <hyperlinks>
    <hyperlink ref="P19" r:id="rId1" display="http://var.astro.cz/oejv/issues/oejv0073.pdf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2024-07-19T04:47:07Z</dcterms:modified>
</cp:coreProperties>
</file>