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730EC8-8C48-49C9-80A6-0BEC3E269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F14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Q23" i="1"/>
  <c r="Q24" i="1"/>
  <c r="Q25" i="1"/>
  <c r="Q26" i="1"/>
  <c r="Q27" i="1"/>
  <c r="D9" i="1"/>
  <c r="E21" i="1"/>
  <c r="F21" i="1" s="1"/>
  <c r="G21" i="1" s="1"/>
  <c r="I21" i="1" s="1"/>
  <c r="E9" i="1"/>
  <c r="C17" i="1"/>
  <c r="Q21" i="1"/>
  <c r="C12" i="1"/>
  <c r="C11" i="1"/>
  <c r="O22" i="1" l="1"/>
  <c r="F15" i="1"/>
  <c r="C16" i="1"/>
  <c r="D18" i="1" s="1"/>
  <c r="O23" i="1"/>
  <c r="C15" i="1"/>
  <c r="O21" i="1"/>
  <c r="O27" i="1"/>
  <c r="O26" i="1"/>
  <c r="O24" i="1"/>
  <c r="O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<sst xmlns="http://schemas.openxmlformats.org/spreadsheetml/2006/main" count="74" uniqueCount="59">
  <si>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</si>
  <si>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</si>
  <si>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</si>
  <si>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</si>
  <si>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</si>
  <si>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</si>
  <si>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</si>
  <si>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</si>
  <si>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</si>
  <si>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</si>
  <si>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</si>
  <si>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</si>
  <si>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</si>
  <si>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</si>
  <si>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</si>
  <si>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</si>
  <si>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</si>
  <si>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</si>
  <si>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</si>
  <si>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</si>
  <si>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</si>
  <si>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</si>
  <si>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</si>
  <si>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</si>
  <si>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</si>
  <si>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</si>
  <si>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</si>
  <si>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</si>
  <si>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</si>
  <si>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</si>
  <si>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</si>
  <si>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</si>
  <si>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</si>
  <si>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</si>
  <si>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</si>
  <si>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</si>
  <si>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</si>
  <si>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</si>
  <si>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</si>
  <si>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</si>
  <si>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</si>
  <si>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</si>
  <si>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Z Cha</t>
  </si>
  <si>
    <t>2019G</t>
  </si>
  <si>
    <t>G9394-2439</t>
  </si>
  <si>
    <t>UGSU+EA</t>
  </si>
  <si>
    <t>pr_</t>
  </si>
  <si>
    <t xml:space="preserve"> pec(UG)+M5.5e </t>
  </si>
  <si>
    <t xml:space="preserve"> Cha</t>
  </si>
  <si>
    <t>Cha</t>
  </si>
  <si>
    <t>Z Cha / GSC 9394-2439</t>
  </si>
  <si>
    <t>as of 2019-07-05</t>
  </si>
  <si>
    <t>VSX</t>
  </si>
  <si>
    <t xml:space="preserve">Mag </t>
  </si>
  <si>
    <t>Next ToM-P</t>
  </si>
  <si>
    <t>Next ToM-S</t>
  </si>
  <si>
    <t>11.50-18.00</t>
  </si>
  <si>
    <t>VSX 1</t>
  </si>
  <si>
    <t>VSX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</si>
</sst>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8" fillId="0" borderId="0" xfId="0" applyFont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0" fillId="0" borderId="0" xfId="0" applyAlignment="1">
      <alignment horizontal="right"/>
    </xf>
    <xf numFmtId="0" fontId="15" fillId="26" borderId="11" xfId="0" applyFont="1" applyFill="1" applyBorder="1" applyAlignment="1">
      <alignment horizontal="right" vertical="center"/>
    </xf>
    <xf numFmtId="0" fontId="15" fillId="26" borderId="12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15" fillId="0" borderId="0" xfId="0" applyFont="1" applyAlignment="1"/>
    <xf numFmtId="0" fontId="1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3" fillId="0" borderId="0" xfId="41" applyFont="1" applyFill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Cha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8-4FC2-B51E-517B0F067B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1.8671658908715472E-3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8-4FC2-B51E-517B0F067B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8-4FC2-B51E-517B0F067B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2.0074599888175726E-4</c:v>
                </c:pt>
                <c:pt idx="3">
                  <c:v>3.9148799987742677E-4</c:v>
                </c:pt>
                <c:pt idx="4">
                  <c:v>4.5042599958833307E-4</c:v>
                </c:pt>
                <c:pt idx="5">
                  <c:v>2.3116800002753735E-4</c:v>
                </c:pt>
                <c:pt idx="6">
                  <c:v>3.0191000405466184E-4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8-4FC2-B51E-517B0F067B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8-4FC2-B51E-517B0F067B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8-4FC2-B51E-517B0F067B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2.5000000000000001E-4</c:v>
                  </c:pt>
                  <c:pt idx="3">
                    <c:v>5.0000000000000001E-4</c:v>
                  </c:pt>
                  <c:pt idx="4">
                    <c:v>3.6999999999999999E-4</c:v>
                  </c:pt>
                  <c:pt idx="5">
                    <c:v>2.5999999999999998E-4</c:v>
                  </c:pt>
                  <c:pt idx="6">
                    <c:v>3.1E-4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8-4FC2-B51E-517B0F067B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1.6088753772463224E-3</c:v>
                </c:pt>
                <c:pt idx="1">
                  <c:v>7.2000058958983024E-4</c:v>
                </c:pt>
                <c:pt idx="2">
                  <c:v>2.2326078786047182E-4</c:v>
                </c:pt>
                <c:pt idx="3">
                  <c:v>2.2324243291823589E-4</c:v>
                </c:pt>
                <c:pt idx="4">
                  <c:v>2.2252659017103695E-4</c:v>
                </c:pt>
                <c:pt idx="5">
                  <c:v>2.2250823522880112E-4</c:v>
                </c:pt>
                <c:pt idx="6">
                  <c:v>2.2248988028656519E-4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8-4FC2-B51E-517B0F067B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-48427</c:v>
                </c:pt>
                <c:pt idx="1">
                  <c:v>0</c:v>
                </c:pt>
                <c:pt idx="2">
                  <c:v>27063</c:v>
                </c:pt>
                <c:pt idx="3">
                  <c:v>27064</c:v>
                </c:pt>
                <c:pt idx="4">
                  <c:v>27103</c:v>
                </c:pt>
                <c:pt idx="5">
                  <c:v>27104</c:v>
                </c:pt>
                <c:pt idx="6">
                  <c:v>27105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8-4FC2-B51E-517B0F06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120128"/>
        <c:axId val="1"/>
      </c:scatterChart>
      <c:valAx>
        <c:axId val="681120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20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C17A44-B5AD-4DA1-91D7-7AD1A72A4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50</v>
      </c>
      <c r="F1" s="30" t="s">
        <v>42</v>
      </c>
      <c r="G1" s="31" t="s">
        <v>43</v>
      </c>
      <c r="H1" s="32"/>
      <c r="I1" s="33" t="s">
        <v>44</v>
      </c>
      <c r="J1" s="34" t="s">
        <v>42</v>
      </c>
      <c r="K1" s="35">
        <v>8.0726999999999993</v>
      </c>
      <c r="L1" s="36">
        <v>76.319999999999993</v>
      </c>
      <c r="M1" s="37">
        <v>52500.07489999989</v>
      </c>
      <c r="N1" s="37">
        <v>7.4499314999999997E-2</v>
      </c>
      <c r="O1" s="36" t="s">
        <v>45</v>
      </c>
      <c r="P1">
        <v>11.5</v>
      </c>
      <c r="Q1">
        <v>16.2</v>
      </c>
      <c r="R1" t="s">
        <v>46</v>
      </c>
      <c r="S1" t="s">
        <v>47</v>
      </c>
      <c r="T1" t="s">
        <v>42</v>
      </c>
      <c r="U1" t="s">
        <v>48</v>
      </c>
      <c r="V1" t="s">
        <v>49</v>
      </c>
    </row>
    <row r="2" spans="1:22" x14ac:dyDescent="0.2">
      <c r="A2" t="s">
        <v>25</v>
      </c>
      <c r="B2" t="s">
        <v>45</v>
      </c>
      <c r="C2" s="29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6" t="s">
        <v>38</v>
      </c>
      <c r="D4" s="27">
        <v>104.1</v>
      </c>
      <c r="E4" s="38" t="s">
        <v>51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  <c r="E6" s="51" t="s">
        <v>57</v>
      </c>
    </row>
    <row r="7" spans="1:22" x14ac:dyDescent="0.2">
      <c r="A7" t="s">
        <v>4</v>
      </c>
      <c r="C7" s="41">
        <v>56107.848599999998</v>
      </c>
      <c r="D7" s="28" t="s">
        <v>58</v>
      </c>
      <c r="E7" s="52">
        <v>52500.07489999989</v>
      </c>
    </row>
    <row r="8" spans="1:22" x14ac:dyDescent="0.2">
      <c r="A8" t="s">
        <v>5</v>
      </c>
      <c r="C8" s="41">
        <v>7.4499257999999999E-2</v>
      </c>
      <c r="D8" s="28" t="s">
        <v>58</v>
      </c>
      <c r="E8" s="53">
        <v>7.4499314999999997E-2</v>
      </c>
    </row>
    <row r="9" spans="1:22" x14ac:dyDescent="0.2">
      <c r="A9" s="23" t="s">
        <v>33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0">
        <f ca="1">INTERCEPT(INDIRECT($E$9):G992,INDIRECT($D$9):F992)</f>
        <v>7.2000058958983024E-4</v>
      </c>
      <c r="D11" s="3"/>
      <c r="E11" s="10"/>
    </row>
    <row r="12" spans="1:22" x14ac:dyDescent="0.2">
      <c r="A12" s="10" t="s">
        <v>18</v>
      </c>
      <c r="B12" s="10"/>
      <c r="C12" s="20">
        <f ca="1">SLOPE(INDIRECT($E$9):G992,INDIRECT($D$9):F992)</f>
        <v>-1.8354942235870319E-8</v>
      </c>
      <c r="D12" s="3"/>
      <c r="E12" s="42" t="s">
        <v>53</v>
      </c>
      <c r="F12" s="43" t="s">
        <v>56</v>
      </c>
    </row>
    <row r="13" spans="1:22" x14ac:dyDescent="0.2">
      <c r="A13" s="10" t="s">
        <v>20</v>
      </c>
      <c r="B13" s="10"/>
      <c r="C13" s="3" t="s">
        <v>15</v>
      </c>
      <c r="E13" s="44" t="s">
        <v>35</v>
      </c>
      <c r="F13" s="45">
        <v>1</v>
      </c>
    </row>
    <row r="14" spans="1:22" x14ac:dyDescent="0.2">
      <c r="A14" s="10"/>
      <c r="B14" s="10"/>
      <c r="C14" s="10"/>
      <c r="E14" s="44" t="s">
        <v>32</v>
      </c>
      <c r="F14" s="46">
        <f ca="1">NOW()+15018.5+$C$5/24</f>
        <v>60525.58741724537</v>
      </c>
    </row>
    <row r="15" spans="1:22" x14ac:dyDescent="0.2">
      <c r="A15" s="12" t="s">
        <v>19</v>
      </c>
      <c r="B15" s="10"/>
      <c r="C15" s="13">
        <f ca="1">(C7+C11)+(C8+C12)*INT(MAX(F21:F3533))</f>
        <v>58127.151210579883</v>
      </c>
      <c r="E15" s="44" t="s">
        <v>36</v>
      </c>
      <c r="F15" s="46">
        <f ca="1">ROUND(2*($F$14-$C$7)/$C$8,0)/2+$F$13</f>
        <v>59300</v>
      </c>
    </row>
    <row r="16" spans="1:22" x14ac:dyDescent="0.2">
      <c r="A16" s="15" t="s">
        <v>6</v>
      </c>
      <c r="B16" s="10"/>
      <c r="C16" s="16">
        <f ca="1">+C8+C12</f>
        <v>7.4499239645057766E-2</v>
      </c>
      <c r="E16" s="44" t="s">
        <v>37</v>
      </c>
      <c r="F16" s="46">
        <f ca="1">ROUND(2*($F$14-$C$15)/$C$16,0)/2+$F$13</f>
        <v>32195</v>
      </c>
    </row>
    <row r="17" spans="1:21" ht="13.5" thickBot="1" x14ac:dyDescent="0.25">
      <c r="A17" s="14" t="s">
        <v>29</v>
      </c>
      <c r="B17" s="10"/>
      <c r="C17" s="10">
        <f>COUNT(C21:C2191)</f>
        <v>7</v>
      </c>
      <c r="E17" s="44" t="s">
        <v>54</v>
      </c>
      <c r="F17" s="47">
        <f ca="1">+$C$15+$C$16*$F$16-15018.5-$C$5/24</f>
        <v>45507.550064285853</v>
      </c>
    </row>
    <row r="18" spans="1:21" ht="14.25" thickTop="1" thickBot="1" x14ac:dyDescent="0.25">
      <c r="A18" s="15" t="s">
        <v>7</v>
      </c>
      <c r="B18" s="10"/>
      <c r="C18" s="18">
        <f ca="1">+C15</f>
        <v>58127.151210579883</v>
      </c>
      <c r="D18" s="19">
        <f ca="1">+C16</f>
        <v>7.4499239645057766E-2</v>
      </c>
      <c r="E18" s="49" t="s">
        <v>55</v>
      </c>
      <c r="F18" s="48">
        <f ca="1">+($C$15+$C$16*$F$16)-($C$16/2)-15018.5-$C$5/24</f>
        <v>45507.512814666028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52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34</v>
      </c>
    </row>
    <row r="21" spans="1:21" x14ac:dyDescent="0.2">
      <c r="A21" s="50" t="s">
        <v>57</v>
      </c>
      <c r="C21" s="8">
        <v>52500.07489999989</v>
      </c>
      <c r="D21" s="8" t="s">
        <v>15</v>
      </c>
      <c r="E21">
        <f>+(C21-C$7)/C$8</f>
        <v>-48426.974937120947</v>
      </c>
      <c r="F21">
        <f>ROUND(2*E21,0)/2</f>
        <v>-48427</v>
      </c>
      <c r="G21">
        <f>+C21-(C$7+F21*C$8)</f>
        <v>1.8671658908715472E-3</v>
      </c>
      <c r="I21">
        <f>+G21</f>
        <v>1.8671658908715472E-3</v>
      </c>
      <c r="O21">
        <f ca="1">+C$11+C$12*$F21</f>
        <v>1.6088753772463224E-3</v>
      </c>
      <c r="Q21" s="2">
        <f>+C21-15018.5</f>
        <v>37481.57489999989</v>
      </c>
    </row>
    <row r="22" spans="1:21" x14ac:dyDescent="0.2">
      <c r="A22" s="54" t="s">
        <v>58</v>
      </c>
      <c r="C22" s="8">
        <v>56107.848599999998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7.2000058958983024E-4</v>
      </c>
      <c r="Q22" s="2">
        <f>+C22-15018.5</f>
        <v>41089.348599999998</v>
      </c>
    </row>
    <row r="23" spans="1:21" x14ac:dyDescent="0.2">
      <c r="A23" s="39" t="s">
        <v>0</v>
      </c>
      <c r="B23" s="40" t="s">
        <v>1</v>
      </c>
      <c r="C23" s="39">
        <v>58124.022219999999</v>
      </c>
      <c r="D23" s="39">
        <v>2.5000000000000001E-4</v>
      </c>
      <c r="E23">
        <f>+(C23-C$7)/C$8</f>
        <v>27063.002694604038</v>
      </c>
      <c r="F23">
        <f>ROUND(2*E23,0)/2</f>
        <v>27063</v>
      </c>
      <c r="G23">
        <f>+C23-(C$7+F23*C$8)</f>
        <v>2.0074599888175726E-4</v>
      </c>
      <c r="K23">
        <f>+G23</f>
        <v>2.0074599888175726E-4</v>
      </c>
      <c r="O23">
        <f ca="1">+C$11+C$12*$F23</f>
        <v>2.2326078786047182E-4</v>
      </c>
      <c r="Q23" s="2">
        <f>+C23-15018.5</f>
        <v>43105.522219999999</v>
      </c>
    </row>
    <row r="24" spans="1:21" x14ac:dyDescent="0.2">
      <c r="A24" s="39" t="s">
        <v>0</v>
      </c>
      <c r="B24" s="40" t="s">
        <v>1</v>
      </c>
      <c r="C24" s="39">
        <v>58124.09691</v>
      </c>
      <c r="D24" s="39">
        <v>5.0000000000000001E-4</v>
      </c>
      <c r="E24">
        <f>+(C24-C$7)/C$8</f>
        <v>27064.005254924858</v>
      </c>
      <c r="F24">
        <f>ROUND(2*E24,0)/2</f>
        <v>27064</v>
      </c>
      <c r="G24">
        <f>+C24-(C$7+F24*C$8)</f>
        <v>3.9148799987742677E-4</v>
      </c>
      <c r="K24">
        <f>+G24</f>
        <v>3.9148799987742677E-4</v>
      </c>
      <c r="O24">
        <f ca="1">+C$11+C$12*$F24</f>
        <v>2.2324243291823589E-4</v>
      </c>
      <c r="Q24" s="2">
        <f>+C24-15018.5</f>
        <v>43105.59691</v>
      </c>
    </row>
    <row r="25" spans="1:21" x14ac:dyDescent="0.2">
      <c r="A25" s="39" t="s">
        <v>0</v>
      </c>
      <c r="B25" s="40" t="s">
        <v>1</v>
      </c>
      <c r="C25" s="39">
        <v>58127.002439999997</v>
      </c>
      <c r="D25" s="39">
        <v>3.6999999999999999E-4</v>
      </c>
      <c r="E25">
        <f>+(C25-C$7)/C$8</f>
        <v>27103.006046046783</v>
      </c>
      <c r="F25">
        <f>ROUND(2*E25,0)/2</f>
        <v>27103</v>
      </c>
      <c r="G25">
        <f>+C25-(C$7+F25*C$8)</f>
        <v>4.5042599958833307E-4</v>
      </c>
      <c r="K25">
        <f>+G25</f>
        <v>4.5042599958833307E-4</v>
      </c>
      <c r="O25">
        <f ca="1">+C$11+C$12*$F25</f>
        <v>2.2252659017103695E-4</v>
      </c>
      <c r="Q25" s="2">
        <f>+C25-15018.5</f>
        <v>43108.502439999997</v>
      </c>
    </row>
    <row r="26" spans="1:21" x14ac:dyDescent="0.2">
      <c r="A26" s="39" t="s">
        <v>0</v>
      </c>
      <c r="B26" s="40" t="s">
        <v>1</v>
      </c>
      <c r="C26" s="39">
        <v>58127.076719999997</v>
      </c>
      <c r="D26" s="39">
        <v>2.5999999999999998E-4</v>
      </c>
      <c r="E26">
        <f>+(C26-C$7)/C$8</f>
        <v>27104.003102957075</v>
      </c>
      <c r="F26">
        <f>ROUND(2*E26,0)/2</f>
        <v>27104</v>
      </c>
      <c r="G26">
        <f>+C26-(C$7+F26*C$8)</f>
        <v>2.3116800002753735E-4</v>
      </c>
      <c r="K26">
        <f>+G26</f>
        <v>2.3116800002753735E-4</v>
      </c>
      <c r="O26">
        <f ca="1">+C$11+C$12*$F26</f>
        <v>2.2250823522880112E-4</v>
      </c>
      <c r="Q26" s="2">
        <f>+C26-15018.5</f>
        <v>43108.576719999997</v>
      </c>
    </row>
    <row r="27" spans="1:21" x14ac:dyDescent="0.2">
      <c r="A27" s="39" t="s">
        <v>0</v>
      </c>
      <c r="B27" s="40" t="s">
        <v>1</v>
      </c>
      <c r="C27" s="39">
        <v>58127.151290000002</v>
      </c>
      <c r="D27" s="39">
        <v>3.1E-4</v>
      </c>
      <c r="E27">
        <f>+(C27-C$7)/C$8</f>
        <v>27105.00405252364</v>
      </c>
      <c r="F27">
        <f>ROUND(2*E27,0)/2</f>
        <v>27105</v>
      </c>
      <c r="G27">
        <f>+C27-(C$7+F27*C$8)</f>
        <v>3.0191000405466184E-4</v>
      </c>
      <c r="K27">
        <f>+G27</f>
        <v>3.0191000405466184E-4</v>
      </c>
      <c r="O27">
        <f ca="1">+C$11+C$12*$F27</f>
        <v>2.2248988028656519E-4</v>
      </c>
      <c r="Q27" s="2">
        <f>+C27-15018.5</f>
        <v>43108.651290000002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W32">
    <sortCondition ref="C21:C32"/>
  </sortState>
  <phoneticPr fontId="6" type="noConversion"/>
  <hyperlinks>
    <hyperlink ref="H64563" r:id="rId1" display="http://vsolj.cetus-net.org/bulletin.html" xr:uid="{00000000-0004-0000-0000-000000000000}"/>
    <hyperlink ref="H64556" r:id="rId2" display="https://www.aavso.org/ejaavso" xr:uid="{00000000-0004-0000-0000-000001000000}"/>
    <hyperlink ref="I64563" r:id="rId3" display="http://vsolj.cetus-net.org/bulletin.html" xr:uid="{00000000-0004-0000-0000-000002000000}"/>
    <hyperlink ref="AQ58214" r:id="rId4" display="http://cdsbib.u-strasbg.fr/cgi-bin/cdsbib?1990RMxAA..21..381G" xr:uid="{00000000-0004-0000-0000-000003000000}"/>
    <hyperlink ref="H64560" r:id="rId5" display="https://www.aavso.org/ejaavso" xr:uid="{00000000-0004-0000-0000-000004000000}"/>
    <hyperlink ref="AP5578" r:id="rId6" display="http://cdsbib.u-strasbg.fr/cgi-bin/cdsbib?1990RMxAA..21..381G" xr:uid="{00000000-0004-0000-0000-000005000000}"/>
    <hyperlink ref="AP5581" r:id="rId7" display="http://cdsbib.u-strasbg.fr/cgi-bin/cdsbib?1990RMxAA..21..381G" xr:uid="{00000000-0004-0000-0000-000006000000}"/>
    <hyperlink ref="AP5579" r:id="rId8" display="http://cdsbib.u-strasbg.fr/cgi-bin/cdsbib?1990RMxAA..21..381G" xr:uid="{00000000-0004-0000-0000-000007000000}"/>
    <hyperlink ref="AP5563" r:id="rId9" display="http://cdsbib.u-strasbg.fr/cgi-bin/cdsbib?1990RMxAA..21..381G" xr:uid="{00000000-0004-0000-0000-000008000000}"/>
    <hyperlink ref="AQ5792" r:id="rId10" display="http://cdsbib.u-strasbg.fr/cgi-bin/cdsbib?1990RMxAA..21..381G" xr:uid="{00000000-0004-0000-0000-000009000000}"/>
    <hyperlink ref="AQ5796" r:id="rId11" display="http://cdsbib.u-strasbg.fr/cgi-bin/cdsbib?1990RMxAA..21..381G" xr:uid="{00000000-0004-0000-0000-00000A000000}"/>
    <hyperlink ref="AQ65476" r:id="rId12" display="http://cdsbib.u-strasbg.fr/cgi-bin/cdsbib?1990RMxAA..21..381G" xr:uid="{00000000-0004-0000-0000-00000B000000}"/>
    <hyperlink ref="I2684" r:id="rId13" display="http://vsolj.cetus-net.org/bulletin.html" xr:uid="{00000000-0004-0000-0000-00000C000000}"/>
    <hyperlink ref="H2684" r:id="rId14" display="http://vsolj.cetus-net.org/bulletin.html" xr:uid="{00000000-0004-0000-0000-00000D000000}"/>
    <hyperlink ref="AQ601" r:id="rId15" display="http://cdsbib.u-strasbg.fr/cgi-bin/cdsbib?1990RMxAA..21..381G" xr:uid="{00000000-0004-0000-0000-00000E000000}"/>
    <hyperlink ref="AQ600" r:id="rId16" display="http://cdsbib.u-strasbg.fr/cgi-bin/cdsbib?1990RMxAA..21..381G" xr:uid="{00000000-0004-0000-0000-00000F000000}"/>
    <hyperlink ref="AP3854" r:id="rId17" display="http://cdsbib.u-strasbg.fr/cgi-bin/cdsbib?1990RMxAA..21..381G" xr:uid="{00000000-0004-0000-0000-000010000000}"/>
    <hyperlink ref="AP3872" r:id="rId18" display="http://cdsbib.u-strasbg.fr/cgi-bin/cdsbib?1990RMxAA..21..381G" xr:uid="{00000000-0004-0000-0000-000011000000}"/>
    <hyperlink ref="AP3873" r:id="rId19" display="http://cdsbib.u-strasbg.fr/cgi-bin/cdsbib?1990RMxAA..21..381G" xr:uid="{00000000-0004-0000-0000-000012000000}"/>
    <hyperlink ref="AP386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2024-08-03T02:05:52Z</dcterms:modified>
</cp:coreProperties>
</file>