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F11F53B-F0A0-4EEA-807E-4A24D155C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F14" i="1"/>
  <c r="F11" i="1"/>
  <c r="Q24" i="1"/>
  <c r="D24" i="1"/>
  <c r="Q23" i="1"/>
  <c r="E24" i="1"/>
  <c r="F24" i="1" s="1"/>
  <c r="G24" i="1" s="1"/>
  <c r="I24" i="1" s="1"/>
  <c r="G11" i="1"/>
  <c r="Q21" i="1"/>
  <c r="C17" i="1"/>
  <c r="E21" i="1"/>
  <c r="F21" i="1" s="1"/>
  <c r="G21" i="1" s="1"/>
  <c r="H21" i="1" s="1"/>
  <c r="E23" i="1"/>
  <c r="F23" i="1"/>
  <c r="G23" i="1" s="1"/>
  <c r="I23" i="1" s="1"/>
  <c r="C12" i="1"/>
  <c r="F15" i="1" l="1"/>
  <c r="C16" i="1"/>
  <c r="D18" i="1" s="1"/>
  <c r="C11" i="1"/>
  <c r="O22" i="1" l="1"/>
  <c r="O21" i="1"/>
  <c r="C15" i="1"/>
  <c r="O23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<sst xmlns="http://schemas.openxmlformats.org/spreadsheetml/2006/main" count="56" uniqueCount="50">
  <si>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</si>
  <si>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</si>
  <si>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</si>
  <si>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</si>
  <si>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</si>
  <si>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</si>
  <si>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</si>
  <si>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</si>
  <si>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</si>
  <si>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</si>
  <si>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</si>
  <si>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</si>
  <si>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</si>
  <si>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</si>
  <si>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</si>
  <si>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</si>
  <si>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</si>
  <si>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</si>
  <si>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</si>
  <si>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</si>
  <si>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</si>
  <si>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</si>
  <si>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</si>
  <si>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</si>
  <si>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</si>
  <si>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</si>
  <si>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</si>
  <si>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</si>
  <si>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</si>
  <si>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</si>
  <si>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</si>
  <si>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</si>
  <si>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</si>
  <si>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</si>
  <si>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</si>
  <si>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</si>
  <si>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BB Cir / GSC 8692-1510               </t>
  </si>
  <si>
    <t xml:space="preserve">EA/SD:    </t>
  </si>
  <si>
    <t>IBVS 5809</t>
  </si>
  <si>
    <t>OEJV 0073</t>
  </si>
  <si>
    <t>CCD</t>
  </si>
  <si>
    <t>Add cycle</t>
  </si>
  <si>
    <t>Old Cycle</t>
  </si>
  <si>
    <t>Next ToM-P</t>
  </si>
  <si>
    <t>Next ToM-S</t>
  </si>
  <si>
    <t>9.40-10.02</t>
  </si>
  <si>
    <t xml:space="preserve">Mag p </t>
  </si>
  <si>
    <t>VSX</t>
  </si>
  <si>
    <t>BAD?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</si>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</sst>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left" wrapText="1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22" fontId="16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7" fillId="0" borderId="10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6" fillId="0" borderId="0" xfId="0" applyFont="1" applyAlignment="1"/>
    <xf numFmtId="0" fontId="0" fillId="0" borderId="3" xfId="0" applyBorder="1" applyAlignment="1"/>
    <xf numFmtId="0" fontId="19" fillId="0" borderId="3" xfId="0" applyFont="1" applyBorder="1" applyAlignment="1"/>
    <xf numFmtId="0" fontId="6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BB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-5.8136000006925315E-3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C8-47AD-8632-31CB4C5E8754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2">
                  <c:v>5.1000000021304004E-3</c:v>
                </c:pt>
                <c:pt idx="3">
                  <c:v>4.4870399942738004E-3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C8-47AD-8632-31CB4C5E875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C8-47AD-8632-31CB4C5E875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C8-47AD-8632-31CB4C5E875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C8-47AD-8632-31CB4C5E875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C8-47AD-8632-31CB4C5E875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2">
                    <c:v>4.0000000000000002E-4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C8-47AD-8632-31CB4C5E875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-3.3047005404530827E-3</c:v>
                </c:pt>
                <c:pt idx="1">
                  <c:v>4.6407062273931847E-4</c:v>
                </c:pt>
                <c:pt idx="2">
                  <c:v>4.6407062273931847E-4</c:v>
                </c:pt>
                <c:pt idx="3">
                  <c:v>6.1499992906861155E-3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C8-47AD-8632-31CB4C5E8754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Active!$P$21:$P$982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A5-44CF-A1A6-43EE5164B6C0}"/>
            </c:ext>
          </c:extLst>
        </c:ser>
        <c:ser>
          <c:idx val="11"/>
          <c:order val="11"/>
          <c:tx>
            <c:strRef>
              <c:f>Active!$S$20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Active!$F$21:$F$982</c:f>
              <c:numCache>
                <c:formatCode>General</c:formatCode>
                <c:ptCount val="962"/>
                <c:pt idx="0">
                  <c:v>-230</c:v>
                </c:pt>
                <c:pt idx="1">
                  <c:v>0</c:v>
                </c:pt>
                <c:pt idx="2">
                  <c:v>0</c:v>
                </c:pt>
                <c:pt idx="3">
                  <c:v>347</c:v>
                </c:pt>
              </c:numCache>
            </c:numRef>
          </c:xVal>
          <c:yVal>
            <c:numRef>
              <c:f>Active!$S$21:$S$982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A5-44CF-A1A6-43EE5164B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69136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-230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347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Active!$Q$21:$Q$982</c15:sqref>
                        </c15:formulaRef>
                      </c:ext>
                    </c:extLst>
                    <c:numCache>
                      <c:formatCode>m/d/yyyy</c:formatCode>
                      <c:ptCount val="962"/>
                      <c:pt idx="0">
                        <c:v>37482.697099999998</c:v>
                      </c:pt>
                      <c:pt idx="1">
                        <c:v>38192.756999999998</c:v>
                      </c:pt>
                      <c:pt idx="2">
                        <c:v>38192.7621</c:v>
                      </c:pt>
                      <c:pt idx="3">
                        <c:v>39264.016999999993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F6A5-44CF-A1A6-43EE5164B6C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Active!$F$21:$F$982</c15:sqref>
                        </c15:formulaRef>
                      </c:ext>
                    </c:extLst>
                    <c:numCache>
                      <c:formatCode>General</c:formatCode>
                      <c:ptCount val="962"/>
                      <c:pt idx="0">
                        <c:v>-230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347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Active!$R$21:$R$982</c15:sqref>
                        </c15:formulaRef>
                      </c:ext>
                    </c:extLst>
                    <c:numCache>
                      <c:formatCode>General</c:formatCode>
                      <c:ptCount val="962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F6A5-44CF-A1A6-43EE5164B6C0}"/>
                  </c:ext>
                </c:extLst>
              </c15:ser>
            </c15:filteredScatterSeries>
          </c:ext>
        </c:extLst>
      </c:scatterChart>
      <c:valAx>
        <c:axId val="68166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69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77293233082706769"/>
          <c:h val="5.24934383202099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0B7D972-8630-D92C-4CC1-166B6D0024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57031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</row>
    <row r="2" spans="1:7" x14ac:dyDescent="0.2">
      <c r="A2" t="s">
        <v>22</v>
      </c>
      <c r="B2" t="s">
        <v>37</v>
      </c>
      <c r="C2" s="3"/>
      <c r="D2" s="3"/>
    </row>
    <row r="3" spans="1:7" ht="13.5" thickBot="1" x14ac:dyDescent="0.25"/>
    <row r="4" spans="1:7" ht="14.25" thickTop="1" thickBot="1" x14ac:dyDescent="0.25">
      <c r="A4" s="5" t="s">
        <v>35</v>
      </c>
      <c r="C4" s="8">
        <v>52501.197099999998</v>
      </c>
      <c r="D4" s="9">
        <v>3.0871689999999998</v>
      </c>
    </row>
    <row r="5" spans="1:7" ht="13.5" thickTop="1" x14ac:dyDescent="0.2"/>
    <row r="6" spans="1:7" x14ac:dyDescent="0.2">
      <c r="A6" s="5" t="s">
        <v>0</v>
      </c>
      <c r="E6" s="45" t="s">
        <v>34</v>
      </c>
    </row>
    <row r="7" spans="1:7" x14ac:dyDescent="0.2">
      <c r="A7" t="s">
        <v>1</v>
      </c>
      <c r="C7" s="42">
        <v>53211.256999999998</v>
      </c>
      <c r="D7" s="42" t="s">
        <v>47</v>
      </c>
      <c r="E7" s="46">
        <v>52501.197099999998</v>
      </c>
    </row>
    <row r="8" spans="1:7" x14ac:dyDescent="0.2">
      <c r="A8" t="s">
        <v>2</v>
      </c>
      <c r="C8" s="42">
        <v>3.0871916800000001</v>
      </c>
      <c r="D8" s="42" t="s">
        <v>47</v>
      </c>
      <c r="E8" s="47">
        <v>3.0871689999999998</v>
      </c>
    </row>
    <row r="9" spans="1:7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1">
        <f ca="1">INTERCEPT(INDIRECT($G$11):G975,INDIRECT($F$11):F975)</f>
        <v>4.6407062273931847E-4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7" x14ac:dyDescent="0.2">
      <c r="A12" s="12" t="s">
        <v>15</v>
      </c>
      <c r="B12" s="12"/>
      <c r="C12" s="21">
        <f ca="1">SLOPE(INDIRECT($G$11):G975,INDIRECT($F$11):F975)</f>
        <v>1.6385961579097397E-5</v>
      </c>
      <c r="D12" s="3"/>
      <c r="E12" s="33" t="s">
        <v>46</v>
      </c>
      <c r="F12" s="34" t="s">
        <v>45</v>
      </c>
    </row>
    <row r="13" spans="1:7" x14ac:dyDescent="0.2">
      <c r="A13" s="12" t="s">
        <v>17</v>
      </c>
      <c r="B13" s="12"/>
      <c r="C13" s="3" t="s">
        <v>12</v>
      </c>
      <c r="D13" s="3"/>
      <c r="E13" s="35" t="s">
        <v>41</v>
      </c>
      <c r="F13" s="36">
        <v>1</v>
      </c>
    </row>
    <row r="14" spans="1:7" x14ac:dyDescent="0.2">
      <c r="A14" s="12"/>
      <c r="B14" s="12"/>
      <c r="C14" s="12"/>
      <c r="D14" s="12"/>
      <c r="E14" s="35" t="s">
        <v>29</v>
      </c>
      <c r="F14" s="37">
        <f ca="1">NOW()+15018.5+$C$9/24</f>
        <v>60525.605168518516</v>
      </c>
    </row>
    <row r="15" spans="1:7" x14ac:dyDescent="0.2">
      <c r="A15" s="14" t="s">
        <v>16</v>
      </c>
      <c r="B15" s="12"/>
      <c r="C15" s="15">
        <f ca="1">(C7+C11)+(C8+C12)*INT(MAX(F21:F3516))</f>
        <v>54282.518662959294</v>
      </c>
      <c r="D15" s="16"/>
      <c r="E15" s="35" t="s">
        <v>42</v>
      </c>
      <c r="F15" s="37">
        <f ca="1">ROUND(2*($F$14-$C$7)/$C$8,0)/2+$F$13</f>
        <v>2370.5</v>
      </c>
    </row>
    <row r="16" spans="1:7" x14ac:dyDescent="0.2">
      <c r="A16" s="17" t="s">
        <v>3</v>
      </c>
      <c r="B16" s="12"/>
      <c r="C16" s="18">
        <f ca="1">+C8+C12</f>
        <v>3.0872080659615793</v>
      </c>
      <c r="D16" s="16"/>
      <c r="E16" s="35" t="s">
        <v>30</v>
      </c>
      <c r="F16" s="37">
        <f ca="1">ROUND(2*($F$14-$C$15)/$C$16,0)/2+$F$13</f>
        <v>2023</v>
      </c>
    </row>
    <row r="17" spans="1:23" ht="13.5" thickBot="1" x14ac:dyDescent="0.25">
      <c r="A17" s="16" t="s">
        <v>26</v>
      </c>
      <c r="B17" s="12"/>
      <c r="C17" s="12">
        <f>COUNT(C21:C2174)</f>
        <v>4</v>
      </c>
      <c r="D17" s="16"/>
      <c r="E17" s="38" t="s">
        <v>43</v>
      </c>
      <c r="F17" s="39">
        <f ca="1">+$C$15+$C$16*$F$16-15018.5-$C$9/24</f>
        <v>45509.836413732904</v>
      </c>
    </row>
    <row r="18" spans="1:23" ht="14.25" thickTop="1" thickBot="1" x14ac:dyDescent="0.25">
      <c r="A18" s="17" t="s">
        <v>4</v>
      </c>
      <c r="B18" s="12"/>
      <c r="C18" s="19">
        <f ca="1">+C15</f>
        <v>54282.518662959294</v>
      </c>
      <c r="D18" s="20">
        <f ca="1">+C16</f>
        <v>3.0872080659615793</v>
      </c>
      <c r="E18" s="41" t="s">
        <v>44</v>
      </c>
      <c r="F18" s="40">
        <f ca="1">+($C$15+$C$16*$F$16)-($C$16/2)-15018.5-$C$9/24</f>
        <v>45508.292809699924</v>
      </c>
    </row>
    <row r="19" spans="1:23" ht="13.5" thickTop="1" x14ac:dyDescent="0.2">
      <c r="A19" s="24" t="s">
        <v>31</v>
      </c>
      <c r="E19" s="25">
        <v>21</v>
      </c>
    </row>
    <row r="20" spans="1:23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34</v>
      </c>
      <c r="I20" s="7" t="s">
        <v>49</v>
      </c>
      <c r="J20" s="7" t="s">
        <v>47</v>
      </c>
      <c r="K20" s="7" t="s">
        <v>40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43"/>
      <c r="S20" s="44" t="s">
        <v>48</v>
      </c>
    </row>
    <row r="21" spans="1:23" x14ac:dyDescent="0.2">
      <c r="A21" s="29" t="s">
        <v>34</v>
      </c>
      <c r="B21" s="28" t="s">
        <v>32</v>
      </c>
      <c r="C21" s="29">
        <v>52501.197099999998</v>
      </c>
      <c r="D21" s="26"/>
      <c r="E21">
        <f>+(C21-C$7)/C$8</f>
        <v>-230.00188313541975</v>
      </c>
      <c r="F21">
        <f>ROUND(2*E21,0)/2</f>
        <v>-230</v>
      </c>
      <c r="G21">
        <f>+C21-(C$7+F21*C$8)</f>
        <v>-5.8136000006925315E-3</v>
      </c>
      <c r="H21">
        <f>+G21</f>
        <v>-5.8136000006925315E-3</v>
      </c>
      <c r="O21">
        <f ca="1">+C$11+C$12*$F21</f>
        <v>-3.3047005404530827E-3</v>
      </c>
      <c r="Q21" s="2">
        <f>+C21-15018.5</f>
        <v>37482.697099999998</v>
      </c>
      <c r="W21" s="27" t="s">
        <v>33</v>
      </c>
    </row>
    <row r="22" spans="1:23" x14ac:dyDescent="0.2">
      <c r="A22" s="42" t="s">
        <v>47</v>
      </c>
      <c r="C22" s="10">
        <v>53211.256999999998</v>
      </c>
      <c r="D22" s="10"/>
      <c r="E22">
        <f>+(C22-C$7)/C$8</f>
        <v>0</v>
      </c>
      <c r="F22">
        <f>ROUND(2*E22,0)/2</f>
        <v>0</v>
      </c>
      <c r="G22">
        <f>+C22-(C$7+F22*C$8)</f>
        <v>0</v>
      </c>
      <c r="J22">
        <f>+G22</f>
        <v>0</v>
      </c>
      <c r="O22">
        <f ca="1">+C$11+C$12*$F22</f>
        <v>4.6407062273931847E-4</v>
      </c>
      <c r="Q22" s="2">
        <f>+C22-15018.5</f>
        <v>38192.756999999998</v>
      </c>
    </row>
    <row r="23" spans="1:23" x14ac:dyDescent="0.2">
      <c r="A23" s="32" t="s">
        <v>38</v>
      </c>
      <c r="B23" s="30"/>
      <c r="C23" s="32">
        <v>53211.2621</v>
      </c>
      <c r="D23" s="32">
        <v>4.0000000000000002E-4</v>
      </c>
      <c r="E23">
        <f>+(C23-C$7)/C$8</f>
        <v>1.6519868316470716E-3</v>
      </c>
      <c r="F23">
        <f>ROUND(2*E23,0)/2</f>
        <v>0</v>
      </c>
      <c r="G23">
        <f>+C23-(C$7+F23*C$8)</f>
        <v>5.1000000021304004E-3</v>
      </c>
      <c r="I23">
        <f>+G23</f>
        <v>5.1000000021304004E-3</v>
      </c>
      <c r="O23">
        <f ca="1">+C$11+C$12*$F23</f>
        <v>4.6407062273931847E-4</v>
      </c>
      <c r="Q23" s="2">
        <f>+C23-15018.5</f>
        <v>38192.7621</v>
      </c>
    </row>
    <row r="24" spans="1:23" x14ac:dyDescent="0.2">
      <c r="A24" s="31" t="s">
        <v>39</v>
      </c>
      <c r="B24" s="28" t="s">
        <v>32</v>
      </c>
      <c r="C24" s="29">
        <v>54282.516999999993</v>
      </c>
      <c r="D24" s="29">
        <f>0.005</f>
        <v>5.0000000000000001E-3</v>
      </c>
      <c r="E24">
        <f>+(C24-C$7)/C$8</f>
        <v>347.00145343744731</v>
      </c>
      <c r="F24">
        <f>ROUND(2*E24,0)/2</f>
        <v>347</v>
      </c>
      <c r="G24">
        <f>+C24-(C$7+F24*C$8)</f>
        <v>4.4870399942738004E-3</v>
      </c>
      <c r="I24">
        <f>+G24</f>
        <v>4.4870399942738004E-3</v>
      </c>
      <c r="O24">
        <f ca="1">+C$11+C$12*$F24</f>
        <v>6.1499992906861155E-3</v>
      </c>
      <c r="Q24" s="2">
        <f>+C24-15018.5</f>
        <v>39264.016999999993</v>
      </c>
    </row>
    <row r="25" spans="1:23" x14ac:dyDescent="0.2">
      <c r="C25" s="10"/>
      <c r="D25" s="10"/>
    </row>
    <row r="26" spans="1:23" x14ac:dyDescent="0.2">
      <c r="C26" s="10"/>
      <c r="D26" s="10"/>
    </row>
    <row r="27" spans="1:23" x14ac:dyDescent="0.2">
      <c r="C27" s="10"/>
      <c r="D27" s="10"/>
    </row>
    <row r="28" spans="1:23" x14ac:dyDescent="0.2">
      <c r="C28" s="10"/>
      <c r="D28" s="10"/>
    </row>
    <row r="29" spans="1:23" x14ac:dyDescent="0.2">
      <c r="C29" s="10"/>
      <c r="D29" s="10"/>
    </row>
    <row r="30" spans="1:23" x14ac:dyDescent="0.2">
      <c r="C30" s="10"/>
      <c r="D30" s="10"/>
    </row>
    <row r="31" spans="1:23" x14ac:dyDescent="0.2">
      <c r="C31" s="10"/>
      <c r="D31" s="10"/>
    </row>
    <row r="32" spans="1:23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sortState xmlns:xlrd2="http://schemas.microsoft.com/office/spreadsheetml/2017/richdata2" ref="A21:AD30">
    <sortCondition ref="C21:C30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2024-08-03T02:31:26Z</dcterms:modified>
</cp:coreProperties>
</file>