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9AB588B-E255-42F9-8302-C995A2F6DC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J27" i="1" s="1"/>
  <c r="Q27" i="1"/>
  <c r="F14" i="1"/>
  <c r="E23" i="1"/>
  <c r="F23" i="1" s="1"/>
  <c r="G23" i="1" s="1"/>
  <c r="I23" i="1" s="1"/>
  <c r="E25" i="1"/>
  <c r="F25" i="1" s="1"/>
  <c r="G25" i="1" s="1"/>
  <c r="I25" i="1" s="1"/>
  <c r="E29" i="1"/>
  <c r="F29" i="1" s="1"/>
  <c r="G29" i="1" s="1"/>
  <c r="K29" i="1" s="1"/>
  <c r="Q21" i="1"/>
  <c r="Q22" i="1"/>
  <c r="Q23" i="1"/>
  <c r="Q24" i="1"/>
  <c r="Q25" i="1"/>
  <c r="Q26" i="1"/>
  <c r="G11" i="1"/>
  <c r="F11" i="1"/>
  <c r="C17" i="1"/>
  <c r="Q29" i="1"/>
  <c r="E21" i="1"/>
  <c r="F21" i="1" s="1"/>
  <c r="G21" i="1" s="1"/>
  <c r="I21" i="1" s="1"/>
  <c r="Q28" i="1"/>
  <c r="E22" i="1"/>
  <c r="F22" i="1" s="1"/>
  <c r="G22" i="1" s="1"/>
  <c r="I22" i="1" s="1"/>
  <c r="E28" i="1"/>
  <c r="F28" i="1" s="1"/>
  <c r="G28" i="1" s="1"/>
  <c r="K28" i="1" s="1"/>
  <c r="E24" i="1"/>
  <c r="F24" i="1" s="1"/>
  <c r="G24" i="1" s="1"/>
  <c r="I24" i="1" s="1"/>
  <c r="E26" i="1"/>
  <c r="F26" i="1" s="1"/>
  <c r="G26" i="1" s="1"/>
  <c r="H26" i="1" s="1"/>
  <c r="C12" i="1"/>
  <c r="F15" i="1" l="1"/>
  <c r="C16" i="1"/>
  <c r="D18" i="1" s="1"/>
  <c r="C11" i="1"/>
  <c r="O27" i="1" l="1"/>
  <c r="O23" i="1"/>
  <c r="O26" i="1"/>
  <c r="O25" i="1"/>
  <c r="O28" i="1"/>
  <c r="O21" i="1"/>
  <c r="O24" i="1"/>
  <c r="O22" i="1"/>
  <c r="O29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<sst xmlns="http://schemas.openxmlformats.org/spreadsheetml/2006/main" count="73" uniqueCount="51">
  <si>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</si>
  <si>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</si>
  <si>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</si>
  <si>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</si>
  <si>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</si>
  <si>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</si>
  <si>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</si>
  <si>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</si>
  <si>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</si>
  <si>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</si>
  <si>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</si>
  <si>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</si>
  <si>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</si>
  <si>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</si>
  <si>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</si>
  <si>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</si>
  <si>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</si>
  <si>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</si>
  <si>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</si>
  <si>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</si>
  <si>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</si>
  <si>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</si>
  <si>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</si>
  <si>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</si>
  <si>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</si>
  <si>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</si>
  <si>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</si>
  <si>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</si>
  <si>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</si>
  <si>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</si>
  <si>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</si>
  <si>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</si>
  <si>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</si>
  <si>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</si>
  <si>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</si>
  <si>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</si>
  <si>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BD Cir / GSC 8684-3159               </t>
  </si>
  <si>
    <t xml:space="preserve">EA/KE:    </t>
  </si>
  <si>
    <t>IBVS 5809</t>
  </si>
  <si>
    <t>Add cycle</t>
  </si>
  <si>
    <t>Old Cycle</t>
  </si>
  <si>
    <t>IBVS 2436</t>
  </si>
  <si>
    <t>pg</t>
  </si>
  <si>
    <t>PE</t>
  </si>
  <si>
    <t>CCD</t>
  </si>
  <si>
    <t xml:space="preserve">Mag </t>
  </si>
  <si>
    <t>Next ToM-P</t>
  </si>
  <si>
    <t>Next ToM-S</t>
  </si>
  <si>
    <t>VSX</t>
  </si>
  <si>
    <t>BAD?</t>
  </si>
  <si>
    <t>10.20-11.00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</si>
</sst>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6" fillId="0" borderId="0" xfId="0" applyFont="1" applyAlignment="1"/>
    <xf numFmtId="0" fontId="0" fillId="0" borderId="3" xfId="0" applyBorder="1" applyAlignment="1"/>
    <xf numFmtId="0" fontId="18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BD Cir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-2028</c:v>
                </c:pt>
                <c:pt idx="1">
                  <c:v>-1981</c:v>
                </c:pt>
                <c:pt idx="2">
                  <c:v>-1971</c:v>
                </c:pt>
                <c:pt idx="3">
                  <c:v>-1929</c:v>
                </c:pt>
                <c:pt idx="4">
                  <c:v>-1928</c:v>
                </c:pt>
                <c:pt idx="5">
                  <c:v>-1073</c:v>
                </c:pt>
                <c:pt idx="6">
                  <c:v>0</c:v>
                </c:pt>
                <c:pt idx="7">
                  <c:v>77</c:v>
                </c:pt>
                <c:pt idx="8">
                  <c:v>209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5">
                  <c:v>-0.2209999999977299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D7-4504-8892-862D6E299C1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-2028</c:v>
                </c:pt>
                <c:pt idx="1">
                  <c:v>-1981</c:v>
                </c:pt>
                <c:pt idx="2">
                  <c:v>-1971</c:v>
                </c:pt>
                <c:pt idx="3">
                  <c:v>-1929</c:v>
                </c:pt>
                <c:pt idx="4">
                  <c:v>-1928</c:v>
                </c:pt>
                <c:pt idx="5">
                  <c:v>-1073</c:v>
                </c:pt>
                <c:pt idx="6">
                  <c:v>0</c:v>
                </c:pt>
                <c:pt idx="7">
                  <c:v>77</c:v>
                </c:pt>
                <c:pt idx="8">
                  <c:v>209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-0.31799999999930151</c:v>
                </c:pt>
                <c:pt idx="1">
                  <c:v>-0.34099999999307329</c:v>
                </c:pt>
                <c:pt idx="2">
                  <c:v>-0.4389999999984866</c:v>
                </c:pt>
                <c:pt idx="3">
                  <c:v>-0.45900000000256114</c:v>
                </c:pt>
                <c:pt idx="4">
                  <c:v>-0.24499999999534339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D7-4504-8892-862D6E299C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-2028</c:v>
                </c:pt>
                <c:pt idx="1">
                  <c:v>-1981</c:v>
                </c:pt>
                <c:pt idx="2">
                  <c:v>-1971</c:v>
                </c:pt>
                <c:pt idx="3">
                  <c:v>-1929</c:v>
                </c:pt>
                <c:pt idx="4">
                  <c:v>-1928</c:v>
                </c:pt>
                <c:pt idx="5">
                  <c:v>-1073</c:v>
                </c:pt>
                <c:pt idx="6">
                  <c:v>0</c:v>
                </c:pt>
                <c:pt idx="7">
                  <c:v>77</c:v>
                </c:pt>
                <c:pt idx="8">
                  <c:v>209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D7-4504-8892-862D6E299C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-2028</c:v>
                </c:pt>
                <c:pt idx="1">
                  <c:v>-1981</c:v>
                </c:pt>
                <c:pt idx="2">
                  <c:v>-1971</c:v>
                </c:pt>
                <c:pt idx="3">
                  <c:v>-1929</c:v>
                </c:pt>
                <c:pt idx="4">
                  <c:v>-1928</c:v>
                </c:pt>
                <c:pt idx="5">
                  <c:v>-1073</c:v>
                </c:pt>
                <c:pt idx="6">
                  <c:v>0</c:v>
                </c:pt>
                <c:pt idx="7">
                  <c:v>77</c:v>
                </c:pt>
                <c:pt idx="8">
                  <c:v>209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7">
                  <c:v>-4.6999999998661224E-2</c:v>
                </c:pt>
                <c:pt idx="8">
                  <c:v>-2.9000000002270099E-2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D7-4504-8892-862D6E299C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-2028</c:v>
                </c:pt>
                <c:pt idx="1">
                  <c:v>-1981</c:v>
                </c:pt>
                <c:pt idx="2">
                  <c:v>-1971</c:v>
                </c:pt>
                <c:pt idx="3">
                  <c:v>-1929</c:v>
                </c:pt>
                <c:pt idx="4">
                  <c:v>-1928</c:v>
                </c:pt>
                <c:pt idx="5">
                  <c:v>-1073</c:v>
                </c:pt>
                <c:pt idx="6">
                  <c:v>0</c:v>
                </c:pt>
                <c:pt idx="7">
                  <c:v>77</c:v>
                </c:pt>
                <c:pt idx="8">
                  <c:v>209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D7-4504-8892-862D6E299C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-2028</c:v>
                </c:pt>
                <c:pt idx="1">
                  <c:v>-1981</c:v>
                </c:pt>
                <c:pt idx="2">
                  <c:v>-1971</c:v>
                </c:pt>
                <c:pt idx="3">
                  <c:v>-1929</c:v>
                </c:pt>
                <c:pt idx="4">
                  <c:v>-1928</c:v>
                </c:pt>
                <c:pt idx="5">
                  <c:v>-1073</c:v>
                </c:pt>
                <c:pt idx="6">
                  <c:v>0</c:v>
                </c:pt>
                <c:pt idx="7">
                  <c:v>77</c:v>
                </c:pt>
                <c:pt idx="8">
                  <c:v>209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D7-4504-8892-862D6E299C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-2028</c:v>
                </c:pt>
                <c:pt idx="1">
                  <c:v>-1981</c:v>
                </c:pt>
                <c:pt idx="2">
                  <c:v>-1971</c:v>
                </c:pt>
                <c:pt idx="3">
                  <c:v>-1929</c:v>
                </c:pt>
                <c:pt idx="4">
                  <c:v>-1928</c:v>
                </c:pt>
                <c:pt idx="5">
                  <c:v>-1073</c:v>
                </c:pt>
                <c:pt idx="6">
                  <c:v>0</c:v>
                </c:pt>
                <c:pt idx="7">
                  <c:v>77</c:v>
                </c:pt>
                <c:pt idx="8">
                  <c:v>209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D7-4504-8892-862D6E299C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-2028</c:v>
                </c:pt>
                <c:pt idx="1">
                  <c:v>-1981</c:v>
                </c:pt>
                <c:pt idx="2">
                  <c:v>-1971</c:v>
                </c:pt>
                <c:pt idx="3">
                  <c:v>-1929</c:v>
                </c:pt>
                <c:pt idx="4">
                  <c:v>-1928</c:v>
                </c:pt>
                <c:pt idx="5">
                  <c:v>-1073</c:v>
                </c:pt>
                <c:pt idx="6">
                  <c:v>0</c:v>
                </c:pt>
                <c:pt idx="7">
                  <c:v>77</c:v>
                </c:pt>
                <c:pt idx="8">
                  <c:v>209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-0.36988238238267523</c:v>
                </c:pt>
                <c:pt idx="1">
                  <c:v>-0.3623040856143922</c:v>
                </c:pt>
                <c:pt idx="2">
                  <c:v>-0.36069168204667246</c:v>
                </c:pt>
                <c:pt idx="3">
                  <c:v>-0.35391958706224935</c:v>
                </c:pt>
                <c:pt idx="4">
                  <c:v>-0.35375834670547734</c:v>
                </c:pt>
                <c:pt idx="5">
                  <c:v>-0.21589784166543605</c:v>
                </c:pt>
                <c:pt idx="6">
                  <c:v>-4.2886938849103468E-2</c:v>
                </c:pt>
                <c:pt idx="7">
                  <c:v>-3.0471431377661149E-2</c:v>
                </c:pt>
                <c:pt idx="8">
                  <c:v>-9.1877042837600342E-3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D7-4504-8892-862D6E299C15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Active!$F$21:$F$982</c:f>
              <c:numCache>
                <c:formatCode>General</c:formatCode>
                <c:ptCount val="962"/>
                <c:pt idx="0">
                  <c:v>-2028</c:v>
                </c:pt>
                <c:pt idx="1">
                  <c:v>-1981</c:v>
                </c:pt>
                <c:pt idx="2">
                  <c:v>-1971</c:v>
                </c:pt>
                <c:pt idx="3">
                  <c:v>-1929</c:v>
                </c:pt>
                <c:pt idx="4">
                  <c:v>-1928</c:v>
                </c:pt>
                <c:pt idx="5">
                  <c:v>-1073</c:v>
                </c:pt>
                <c:pt idx="6">
                  <c:v>0</c:v>
                </c:pt>
                <c:pt idx="7">
                  <c:v>77</c:v>
                </c:pt>
                <c:pt idx="8">
                  <c:v>209</c:v>
                </c:pt>
              </c:numCache>
            </c:numRef>
          </c:xVal>
          <c:yVal>
            <c:numRef>
              <c:f>Active!$P$21:$P$982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5D-4021-8833-47AFBF1AC530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Active!$F$21:$F$982</c:f>
              <c:numCache>
                <c:formatCode>General</c:formatCode>
                <c:ptCount val="962"/>
                <c:pt idx="0">
                  <c:v>-2028</c:v>
                </c:pt>
                <c:pt idx="1">
                  <c:v>-1981</c:v>
                </c:pt>
                <c:pt idx="2">
                  <c:v>-1971</c:v>
                </c:pt>
                <c:pt idx="3">
                  <c:v>-1929</c:v>
                </c:pt>
                <c:pt idx="4">
                  <c:v>-1928</c:v>
                </c:pt>
                <c:pt idx="5">
                  <c:v>-1073</c:v>
                </c:pt>
                <c:pt idx="6">
                  <c:v>0</c:v>
                </c:pt>
                <c:pt idx="7">
                  <c:v>77</c:v>
                </c:pt>
                <c:pt idx="8">
                  <c:v>209</c:v>
                </c:pt>
              </c:numCache>
            </c:numRef>
          </c:xVal>
          <c:yVal>
            <c:numRef>
              <c:f>Active!$S$21:$S$982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5D-4021-8833-47AFBF1AC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297368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-2028</c:v>
                      </c:pt>
                      <c:pt idx="1">
                        <c:v>-1981</c:v>
                      </c:pt>
                      <c:pt idx="2">
                        <c:v>-1971</c:v>
                      </c:pt>
                      <c:pt idx="3">
                        <c:v>-1929</c:v>
                      </c:pt>
                      <c:pt idx="4">
                        <c:v>-1928</c:v>
                      </c:pt>
                      <c:pt idx="5">
                        <c:v>-1073</c:v>
                      </c:pt>
                      <c:pt idx="6">
                        <c:v>0</c:v>
                      </c:pt>
                      <c:pt idx="7">
                        <c:v>77</c:v>
                      </c:pt>
                      <c:pt idx="8">
                        <c:v>209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Active!$Q$21:$Q$982</c15:sqref>
                        </c15:formulaRef>
                      </c:ext>
                    </c:extLst>
                    <c:numCache>
                      <c:formatCode>m/d/yyyy</c:formatCode>
                      <c:ptCount val="962"/>
                      <c:pt idx="0">
                        <c:v>23186.784</c:v>
                      </c:pt>
                      <c:pt idx="1">
                        <c:v>23505.938000000002</c:v>
                      </c:pt>
                      <c:pt idx="2">
                        <c:v>23573.75</c:v>
                      </c:pt>
                      <c:pt idx="3">
                        <c:v>23858.951999999997</c:v>
                      </c:pt>
                      <c:pt idx="4">
                        <c:v>23865.957000000002</c:v>
                      </c:pt>
                      <c:pt idx="5">
                        <c:v>29672.286</c:v>
                      </c:pt>
                      <c:pt idx="6">
                        <c:v>36959.25</c:v>
                      </c:pt>
                      <c:pt idx="7">
                        <c:v>37482.11</c:v>
                      </c:pt>
                      <c:pt idx="8">
                        <c:v>38378.54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7B5D-4021-8833-47AFBF1AC530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-2028</c:v>
                      </c:pt>
                      <c:pt idx="1">
                        <c:v>-1981</c:v>
                      </c:pt>
                      <c:pt idx="2">
                        <c:v>-1971</c:v>
                      </c:pt>
                      <c:pt idx="3">
                        <c:v>-1929</c:v>
                      </c:pt>
                      <c:pt idx="4">
                        <c:v>-1928</c:v>
                      </c:pt>
                      <c:pt idx="5">
                        <c:v>-1073</c:v>
                      </c:pt>
                      <c:pt idx="6">
                        <c:v>0</c:v>
                      </c:pt>
                      <c:pt idx="7">
                        <c:v>77</c:v>
                      </c:pt>
                      <c:pt idx="8">
                        <c:v>209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7B5D-4021-8833-47AFBF1AC530}"/>
                  </c:ext>
                </c:extLst>
              </c15:ser>
            </c15:filteredScatterSeries>
          </c:ext>
        </c:extLst>
      </c:scatterChart>
      <c:valAx>
        <c:axId val="669297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297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76691729323308266"/>
          <c:h val="5.39121798964318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A14BDD6-3AC2-967C-6001-17EC2205F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36</v>
      </c>
    </row>
    <row r="2" spans="1:7" ht="12.95" customHeight="1" x14ac:dyDescent="0.2">
      <c r="A2" t="s">
        <v>22</v>
      </c>
      <c r="B2" t="s">
        <v>37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35</v>
      </c>
      <c r="C4" s="8">
        <v>52500.61</v>
      </c>
      <c r="D4" s="9">
        <v>6.7911299999999999</v>
      </c>
    </row>
    <row r="5" spans="1:7" ht="12.95" customHeight="1" x14ac:dyDescent="0.2">
      <c r="C5" s="27" t="s">
        <v>33</v>
      </c>
    </row>
    <row r="6" spans="1:7" ht="12.95" customHeight="1" x14ac:dyDescent="0.2">
      <c r="A6" s="5" t="s">
        <v>0</v>
      </c>
      <c r="E6" s="46"/>
    </row>
    <row r="7" spans="1:7" ht="12.95" customHeight="1" x14ac:dyDescent="0.2">
      <c r="A7" t="s">
        <v>1</v>
      </c>
      <c r="C7" s="43">
        <v>51977.75</v>
      </c>
      <c r="D7" s="43" t="s">
        <v>48</v>
      </c>
      <c r="E7" s="47"/>
    </row>
    <row r="8" spans="1:7" ht="12.95" customHeight="1" x14ac:dyDescent="0.2">
      <c r="A8" t="s">
        <v>2</v>
      </c>
      <c r="C8" s="43">
        <v>6.7910000000000004</v>
      </c>
      <c r="D8" s="43" t="s">
        <v>48</v>
      </c>
      <c r="E8" s="47"/>
    </row>
    <row r="9" spans="1:7" ht="12.95" customHeight="1" x14ac:dyDescent="0.2">
      <c r="A9" s="11" t="s">
        <v>27</v>
      </c>
      <c r="B9" s="12"/>
      <c r="C9" s="13">
        <v>-9.5</v>
      </c>
      <c r="D9" s="12" t="s">
        <v>28</v>
      </c>
      <c r="E9" s="12"/>
    </row>
    <row r="10" spans="1:7" ht="12.95" customHeight="1" thickBot="1" x14ac:dyDescent="0.25">
      <c r="A10" s="12"/>
      <c r="B10" s="12"/>
      <c r="C10" s="4" t="s">
        <v>18</v>
      </c>
      <c r="D10" s="4" t="s">
        <v>19</v>
      </c>
      <c r="E10" s="12"/>
    </row>
    <row r="11" spans="1:7" ht="12.95" customHeight="1" x14ac:dyDescent="0.2">
      <c r="A11" s="12" t="s">
        <v>14</v>
      </c>
      <c r="B11" s="12"/>
      <c r="C11" s="21">
        <f ca="1">INTERCEPT(INDIRECT($G$11):G992,INDIRECT($F$11):F992)</f>
        <v>-4.2886938849103468E-2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ht="12.95" customHeight="1" x14ac:dyDescent="0.2">
      <c r="A12" s="12" t="s">
        <v>15</v>
      </c>
      <c r="B12" s="12"/>
      <c r="C12" s="21">
        <f ca="1">SLOPE(INDIRECT($G$11):G992,INDIRECT($F$11):F992)</f>
        <v>1.6124035677197817E-4</v>
      </c>
      <c r="D12" s="3"/>
      <c r="E12" s="34" t="s">
        <v>45</v>
      </c>
      <c r="F12" s="35" t="s">
        <v>50</v>
      </c>
    </row>
    <row r="13" spans="1:7" ht="12.95" customHeight="1" x14ac:dyDescent="0.2">
      <c r="A13" s="12" t="s">
        <v>17</v>
      </c>
      <c r="B13" s="12"/>
      <c r="C13" s="3" t="s">
        <v>12</v>
      </c>
      <c r="D13" s="16"/>
      <c r="E13" s="36" t="s">
        <v>39</v>
      </c>
      <c r="F13" s="37">
        <v>1</v>
      </c>
    </row>
    <row r="14" spans="1:7" ht="12.95" customHeight="1" x14ac:dyDescent="0.2">
      <c r="A14" s="12"/>
      <c r="B14" s="12"/>
      <c r="C14" s="12"/>
      <c r="D14" s="16"/>
      <c r="E14" s="36" t="s">
        <v>29</v>
      </c>
      <c r="F14" s="38">
        <f ca="1">NOW()+15018.5+$C$9/24</f>
        <v>60525.610707291664</v>
      </c>
    </row>
    <row r="15" spans="1:7" ht="12.95" customHeight="1" x14ac:dyDescent="0.2">
      <c r="A15" s="14" t="s">
        <v>16</v>
      </c>
      <c r="B15" s="12"/>
      <c r="C15" s="15">
        <f ca="1">(C7+C11)+(C8+C12)*INT(MAX(F21:F3533))</f>
        <v>53397.059812295716</v>
      </c>
      <c r="D15" s="16"/>
      <c r="E15" s="36" t="s">
        <v>40</v>
      </c>
      <c r="F15" s="38">
        <f ca="1">ROUND(2*($F$14-$C$7)/$C$8,0)/2+$F$13</f>
        <v>1259.5</v>
      </c>
    </row>
    <row r="16" spans="1:7" ht="12.95" customHeight="1" x14ac:dyDescent="0.2">
      <c r="A16" s="17" t="s">
        <v>3</v>
      </c>
      <c r="B16" s="12"/>
      <c r="C16" s="18">
        <f ca="1">+C8+C12</f>
        <v>6.7911612403567725</v>
      </c>
      <c r="D16" s="16"/>
      <c r="E16" s="36" t="s">
        <v>30</v>
      </c>
      <c r="F16" s="38">
        <f ca="1">ROUND(2*($F$14-$C$15)/$C$16,0)/2+$F$13</f>
        <v>1050.5</v>
      </c>
    </row>
    <row r="17" spans="1:23" ht="12.95" customHeight="1" thickBot="1" x14ac:dyDescent="0.25">
      <c r="A17" s="16" t="s">
        <v>26</v>
      </c>
      <c r="B17" s="12"/>
      <c r="C17" s="12">
        <f>COUNT(C21:C2191)</f>
        <v>9</v>
      </c>
      <c r="D17" s="16"/>
      <c r="E17" s="39" t="s">
        <v>46</v>
      </c>
      <c r="F17" s="40">
        <f ca="1">+$C$15+$C$16*$F$16-15018.5-$C$9/24</f>
        <v>45513.070528623844</v>
      </c>
    </row>
    <row r="18" spans="1:23" ht="12.95" customHeight="1" thickTop="1" thickBot="1" x14ac:dyDescent="0.25">
      <c r="A18" s="17" t="s">
        <v>4</v>
      </c>
      <c r="B18" s="12"/>
      <c r="C18" s="19">
        <f ca="1">+C15</f>
        <v>53397.059812295716</v>
      </c>
      <c r="D18" s="20">
        <f ca="1">+C16</f>
        <v>6.7911612403567725</v>
      </c>
      <c r="E18" s="42" t="s">
        <v>47</v>
      </c>
      <c r="F18" s="41">
        <f ca="1">+($C$15+$C$16*$F$16)-($C$16/2)-15018.5-$C$9/24</f>
        <v>45509.674948003667</v>
      </c>
    </row>
    <row r="19" spans="1:23" ht="12.95" customHeight="1" thickTop="1" x14ac:dyDescent="0.2">
      <c r="A19" s="24" t="s">
        <v>31</v>
      </c>
      <c r="E19" s="25">
        <v>21</v>
      </c>
    </row>
    <row r="20" spans="1:23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43</v>
      </c>
      <c r="I20" s="7" t="s">
        <v>42</v>
      </c>
      <c r="J20" s="7" t="s">
        <v>48</v>
      </c>
      <c r="K20" s="7" t="s">
        <v>44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R20" s="44"/>
      <c r="S20" s="45" t="s">
        <v>49</v>
      </c>
    </row>
    <row r="21" spans="1:23" ht="12.95" customHeight="1" x14ac:dyDescent="0.2">
      <c r="A21" s="32" t="s">
        <v>41</v>
      </c>
      <c r="B21" s="33" t="s">
        <v>32</v>
      </c>
      <c r="C21" s="32">
        <v>38205.284</v>
      </c>
      <c r="D21" s="32" t="s">
        <v>42</v>
      </c>
      <c r="E21">
        <f>+(C21-C$7)/C$8</f>
        <v>-2028.0468266823736</v>
      </c>
      <c r="F21">
        <f>ROUND(2*E21,0)/2</f>
        <v>-2028</v>
      </c>
      <c r="G21">
        <f>+C21-(C$7+F21*C$8)</f>
        <v>-0.31799999999930151</v>
      </c>
      <c r="I21">
        <f>+G21</f>
        <v>-0.31799999999930151</v>
      </c>
      <c r="O21">
        <f ca="1">+C$11+C$12*$F21</f>
        <v>-0.36988238238267523</v>
      </c>
      <c r="Q21" s="2">
        <f>+C21-15018.5</f>
        <v>23186.784</v>
      </c>
    </row>
    <row r="22" spans="1:23" ht="12.95" customHeight="1" x14ac:dyDescent="0.2">
      <c r="A22" s="32" t="s">
        <v>41</v>
      </c>
      <c r="B22" s="33" t="s">
        <v>32</v>
      </c>
      <c r="C22" s="32">
        <v>38524.438000000002</v>
      </c>
      <c r="D22" s="32" t="s">
        <v>42</v>
      </c>
      <c r="E22">
        <f>+(C22-C$7)/C$8</f>
        <v>-1981.0502135178908</v>
      </c>
      <c r="F22">
        <f>ROUND(2*E22,0)/2</f>
        <v>-1981</v>
      </c>
      <c r="G22">
        <f>+C22-(C$7+F22*C$8)</f>
        <v>-0.34099999999307329</v>
      </c>
      <c r="I22">
        <f>+G22</f>
        <v>-0.34099999999307329</v>
      </c>
      <c r="O22">
        <f ca="1">+C$11+C$12*$F22</f>
        <v>-0.3623040856143922</v>
      </c>
      <c r="Q22" s="2">
        <f>+C22-15018.5</f>
        <v>23505.938000000002</v>
      </c>
    </row>
    <row r="23" spans="1:23" ht="12.95" customHeight="1" x14ac:dyDescent="0.2">
      <c r="A23" s="32" t="s">
        <v>41</v>
      </c>
      <c r="B23" s="33" t="s">
        <v>32</v>
      </c>
      <c r="C23" s="32">
        <v>38592.25</v>
      </c>
      <c r="D23" s="32" t="s">
        <v>42</v>
      </c>
      <c r="E23">
        <f>+(C23-C$7)/C$8</f>
        <v>-1971.0646443822704</v>
      </c>
      <c r="F23">
        <f>ROUND(2*E23,0)/2</f>
        <v>-1971</v>
      </c>
      <c r="G23">
        <f>+C23-(C$7+F23*C$8)</f>
        <v>-0.4389999999984866</v>
      </c>
      <c r="I23">
        <f>+G23</f>
        <v>-0.4389999999984866</v>
      </c>
      <c r="O23">
        <f ca="1">+C$11+C$12*$F23</f>
        <v>-0.36069168204667246</v>
      </c>
      <c r="Q23" s="2">
        <f>+C23-15018.5</f>
        <v>23573.75</v>
      </c>
    </row>
    <row r="24" spans="1:23" ht="12.95" customHeight="1" x14ac:dyDescent="0.2">
      <c r="A24" s="32" t="s">
        <v>41</v>
      </c>
      <c r="B24" s="33" t="s">
        <v>32</v>
      </c>
      <c r="C24" s="32">
        <v>38877.451999999997</v>
      </c>
      <c r="D24" s="32" t="s">
        <v>42</v>
      </c>
      <c r="E24">
        <f>+(C24-C$7)/C$8</f>
        <v>-1929.0675894566341</v>
      </c>
      <c r="F24">
        <f>ROUND(2*E24,0)/2</f>
        <v>-1929</v>
      </c>
      <c r="G24">
        <f>+C24-(C$7+F24*C$8)</f>
        <v>-0.45900000000256114</v>
      </c>
      <c r="I24">
        <f>+G24</f>
        <v>-0.45900000000256114</v>
      </c>
      <c r="O24">
        <f ca="1">+C$11+C$12*$F24</f>
        <v>-0.35391958706224935</v>
      </c>
      <c r="Q24" s="2">
        <f>+C24-15018.5</f>
        <v>23858.951999999997</v>
      </c>
    </row>
    <row r="25" spans="1:23" ht="12.95" customHeight="1" x14ac:dyDescent="0.2">
      <c r="A25" s="32" t="s">
        <v>41</v>
      </c>
      <c r="B25" s="33" t="s">
        <v>32</v>
      </c>
      <c r="C25" s="32">
        <v>38884.457000000002</v>
      </c>
      <c r="D25" s="32" t="s">
        <v>42</v>
      </c>
      <c r="E25">
        <f>+(C25-C$7)/C$8</f>
        <v>-1928.0360771609478</v>
      </c>
      <c r="F25">
        <f>ROUND(2*E25,0)/2</f>
        <v>-1928</v>
      </c>
      <c r="G25">
        <f>+C25-(C$7+F25*C$8)</f>
        <v>-0.24499999999534339</v>
      </c>
      <c r="I25">
        <f>+G25</f>
        <v>-0.24499999999534339</v>
      </c>
      <c r="O25">
        <f ca="1">+C$11+C$12*$F25</f>
        <v>-0.35375834670547734</v>
      </c>
      <c r="Q25" s="2">
        <f>+C25-15018.5</f>
        <v>23865.957000000002</v>
      </c>
    </row>
    <row r="26" spans="1:23" ht="12.95" customHeight="1" x14ac:dyDescent="0.2">
      <c r="A26" s="32" t="s">
        <v>41</v>
      </c>
      <c r="B26" s="33" t="s">
        <v>32</v>
      </c>
      <c r="C26" s="32">
        <v>44690.786</v>
      </c>
      <c r="D26" s="32" t="s">
        <v>43</v>
      </c>
      <c r="E26">
        <f>+(C26-C$7)/C$8</f>
        <v>-1073.0325430717126</v>
      </c>
      <c r="F26">
        <f>ROUND(2*E26,0)/2</f>
        <v>-1073</v>
      </c>
      <c r="G26">
        <f>+C26-(C$7+F26*C$8)</f>
        <v>-0.2209999999977299</v>
      </c>
      <c r="H26">
        <f>+G26</f>
        <v>-0.2209999999977299</v>
      </c>
      <c r="O26">
        <f ca="1">+C$11+C$12*$F26</f>
        <v>-0.21589784166543605</v>
      </c>
      <c r="Q26" s="2">
        <f>+C26-15018.5</f>
        <v>29672.286</v>
      </c>
    </row>
    <row r="27" spans="1:23" ht="12.95" customHeight="1" x14ac:dyDescent="0.2">
      <c r="A27" s="32" t="s">
        <v>48</v>
      </c>
      <c r="C27" s="10">
        <v>51977.75</v>
      </c>
      <c r="D27" s="10"/>
      <c r="E27">
        <f>+(C27-C$7)/C$8</f>
        <v>0</v>
      </c>
      <c r="F27">
        <f>ROUND(2*E27,0)/2</f>
        <v>0</v>
      </c>
      <c r="G27">
        <f>+C27-(C$7+F27*C$8)</f>
        <v>0</v>
      </c>
      <c r="J27">
        <f>+G27</f>
        <v>0</v>
      </c>
      <c r="O27">
        <f ca="1">+C$11+C$12*$F27</f>
        <v>-4.2886938849103468E-2</v>
      </c>
      <c r="Q27" s="2">
        <f>+C27-15018.5</f>
        <v>36959.25</v>
      </c>
    </row>
    <row r="28" spans="1:23" ht="12.95" customHeight="1" x14ac:dyDescent="0.2">
      <c r="A28" s="29" t="s">
        <v>34</v>
      </c>
      <c r="B28" s="28" t="s">
        <v>32</v>
      </c>
      <c r="C28" s="29">
        <v>52500.61</v>
      </c>
      <c r="D28" s="26"/>
      <c r="E28">
        <f>+(C28-C$7)/C$8</f>
        <v>76.993079075246726</v>
      </c>
      <c r="F28">
        <f>ROUND(2*E28,0)/2</f>
        <v>77</v>
      </c>
      <c r="G28">
        <f>+C28-(C$7+F28*C$8)</f>
        <v>-4.6999999998661224E-2</v>
      </c>
      <c r="K28">
        <f>+G28</f>
        <v>-4.6999999998661224E-2</v>
      </c>
      <c r="O28">
        <f ca="1">+C$11+C$12*$F28</f>
        <v>-3.0471431377661149E-2</v>
      </c>
      <c r="Q28" s="2">
        <f>+C28-15018.5</f>
        <v>37482.11</v>
      </c>
      <c r="W28" t="s">
        <v>33</v>
      </c>
    </row>
    <row r="29" spans="1:23" ht="12.95" customHeight="1" x14ac:dyDescent="0.2">
      <c r="A29" s="30" t="s">
        <v>38</v>
      </c>
      <c r="B29" s="31" t="s">
        <v>32</v>
      </c>
      <c r="C29" s="30">
        <v>53397.04</v>
      </c>
      <c r="D29" s="30">
        <v>0.01</v>
      </c>
      <c r="E29">
        <f>+(C29-C$7)/C$8</f>
        <v>208.99572964217359</v>
      </c>
      <c r="F29">
        <f>ROUND(2*E29,0)/2</f>
        <v>209</v>
      </c>
      <c r="G29">
        <f>+C29-(C$7+F29*C$8)</f>
        <v>-2.9000000002270099E-2</v>
      </c>
      <c r="K29">
        <f>+G29</f>
        <v>-2.9000000002270099E-2</v>
      </c>
      <c r="O29">
        <f ca="1">+C$11+C$12*$F29</f>
        <v>-9.1877042837600342E-3</v>
      </c>
      <c r="Q29" s="2">
        <f>+C29-15018.5</f>
        <v>38378.54</v>
      </c>
    </row>
    <row r="30" spans="1:23" ht="12.95" customHeight="1" x14ac:dyDescent="0.2">
      <c r="C30" s="10"/>
      <c r="D30" s="10"/>
    </row>
    <row r="31" spans="1:23" ht="12.95" customHeight="1" x14ac:dyDescent="0.2">
      <c r="C31" s="10"/>
      <c r="D31" s="10"/>
    </row>
    <row r="32" spans="1:23" ht="12.95" customHeight="1" x14ac:dyDescent="0.2">
      <c r="C32" s="10"/>
      <c r="D32" s="10"/>
    </row>
    <row r="33" spans="3:4" ht="12.95" customHeight="1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Y34">
    <sortCondition ref="C21:C3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2024-08-03T02:39:25Z</dcterms:modified>
</cp:coreProperties>
</file>