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0FC4EFA-D60B-45BA-9A90-2EE65FB03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F14" i="1"/>
  <c r="E25" i="1"/>
  <c r="F25" i="1" s="1"/>
  <c r="G25" i="1" s="1"/>
  <c r="J25" i="1" s="1"/>
  <c r="F11" i="1"/>
  <c r="G11" i="1"/>
  <c r="Q23" i="1"/>
  <c r="E23" i="1"/>
  <c r="F23" i="1" s="1"/>
  <c r="G23" i="1" s="1"/>
  <c r="J23" i="1" s="1"/>
  <c r="E21" i="1"/>
  <c r="F21" i="1" s="1"/>
  <c r="G21" i="1" s="1"/>
  <c r="H21" i="1" s="1"/>
  <c r="Q25" i="1"/>
  <c r="Q24" i="1"/>
  <c r="C17" i="1"/>
  <c r="Q21" i="1"/>
  <c r="E24" i="1"/>
  <c r="F24" i="1" s="1"/>
  <c r="S24" i="1" s="1"/>
  <c r="C11" i="1"/>
  <c r="F15" i="1" l="1"/>
  <c r="C12" i="1"/>
  <c r="O22" i="1" l="1"/>
  <c r="C15" i="1"/>
  <c r="C16" i="1"/>
  <c r="D18" i="1" s="1"/>
  <c r="O21" i="1"/>
  <c r="O24" i="1"/>
  <c r="O23" i="1"/>
  <c r="O2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<sst xmlns="http://schemas.openxmlformats.org/spreadsheetml/2006/main" count="65" uniqueCount="54">
  <si>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</si>
  <si>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</si>
  <si>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</si>
  <si>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</si>
  <si>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</si>
  <si>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</si>
  <si>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</si>
  <si>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</si>
  <si>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</si>
  <si>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</si>
  <si>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</si>
  <si>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</si>
  <si>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</si>
  <si>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</si>
  <si>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</si>
  <si>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</si>
  <si>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</si>
  <si>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</si>
  <si>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</si>
  <si>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</si>
  <si>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</si>
  <si>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</si>
  <si>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</si>
  <si>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</si>
  <si>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</si>
  <si>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</si>
  <si>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</si>
  <si>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</si>
  <si>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</si>
  <si>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</si>
  <si>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</si>
  <si>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</si>
  <si>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</si>
  <si>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</si>
  <si>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</si>
  <si>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BN Cir / na</t>
  </si>
  <si>
    <t>EA</t>
  </si>
  <si>
    <t>Cir_BN.xls</t>
  </si>
  <si>
    <t>IBVS 5653</t>
  </si>
  <si>
    <t>I</t>
  </si>
  <si>
    <t>GCVS</t>
  </si>
  <si>
    <t>II</t>
  </si>
  <si>
    <t>IBVS 5931</t>
  </si>
  <si>
    <t>CCD</t>
  </si>
  <si>
    <t xml:space="preserve">Mag </t>
  </si>
  <si>
    <t>Add cycle</t>
  </si>
  <si>
    <t>Old Cycle</t>
  </si>
  <si>
    <t>Next ToM-P</t>
  </si>
  <si>
    <t>Next ToM-S</t>
  </si>
  <si>
    <t>10.10-10.70</t>
  </si>
  <si>
    <t>VSX</t>
  </si>
  <si>
    <t>CCD?</t>
  </si>
  <si>
    <t>BAD?</t>
  </si>
  <si>
    <t>poss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</si>
</sst>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6" fillId="0" borderId="0" xfId="0" applyFont="1" applyAlignment="1"/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/>
    <xf numFmtId="0" fontId="20" fillId="0" borderId="2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0.62640000000101281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3E-4B2F-BEF6-71295E6EE8C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3E-4B2F-BEF6-71295E6EE8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5.5999999967752956E-3</c:v>
                </c:pt>
                <c:pt idx="4">
                  <c:v>7.8000000066822395E-3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3E-4B2F-BEF6-71295E6EE8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3E-4B2F-BEF6-71295E6EE8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3E-4B2F-BEF6-71295E6EE8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3E-4B2F-BEF6-71295E6EE8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1.8E-3</c:v>
                  </c:pt>
                  <c:pt idx="3">
                    <c:v>3.0000000000000001E-3</c:v>
                  </c:pt>
                  <c:pt idx="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3E-4B2F-BEF6-71295E6EE8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0.62480901981916348</c:v>
                </c:pt>
                <c:pt idx="1">
                  <c:v>2.8300027273615608E-2</c:v>
                </c:pt>
                <c:pt idx="2">
                  <c:v>-4.3728949006968387E-3</c:v>
                </c:pt>
                <c:pt idx="3">
                  <c:v>-8.9361521876119843E-3</c:v>
                </c:pt>
                <c:pt idx="4">
                  <c:v>-8.9361521876119843E-3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3E-4B2F-BEF6-71295E6EE8C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Active!$P$21:$P$998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50-461E-8807-72878844F875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-3268</c:v>
                </c:pt>
                <c:pt idx="1">
                  <c:v>0</c:v>
                </c:pt>
                <c:pt idx="2">
                  <c:v>179</c:v>
                </c:pt>
                <c:pt idx="3">
                  <c:v>204</c:v>
                </c:pt>
                <c:pt idx="4">
                  <c:v>204</c:v>
                </c:pt>
              </c:numCache>
            </c:numRef>
          </c:xVal>
          <c:yVal>
            <c:numRef>
              <c:f>Active!$S$21:$S$998</c:f>
              <c:numCache>
                <c:formatCode>General</c:formatCode>
                <c:ptCount val="978"/>
                <c:pt idx="3">
                  <c:v>-0.9861999999920954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50-461E-8807-72878844F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093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-3268</c:v>
                      </c:pt>
                      <c:pt idx="1">
                        <c:v>0</c:v>
                      </c:pt>
                      <c:pt idx="2">
                        <c:v>179</c:v>
                      </c:pt>
                      <c:pt idx="3">
                        <c:v>204</c:v>
                      </c:pt>
                      <c:pt idx="4">
                        <c:v>204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Active!$Q$21:$Q$998</c15:sqref>
                        </c15:formulaRef>
                      </c:ext>
                    </c:extLst>
                    <c:numCache>
                      <c:formatCode>m/d/yyyy</c:formatCode>
                      <c:ptCount val="978"/>
                      <c:pt idx="0">
                        <c:v>23214.75</c:v>
                      </c:pt>
                      <c:pt idx="1">
                        <c:v>37625.35</c:v>
                      </c:pt>
                      <c:pt idx="2">
                        <c:v>38414.709799999997</c:v>
                      </c:pt>
                      <c:pt idx="3">
                        <c:v>38523.963000000003</c:v>
                      </c:pt>
                      <c:pt idx="4">
                        <c:v>38524.957000000002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B650-461E-8807-72878844F875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-3268</c:v>
                      </c:pt>
                      <c:pt idx="1">
                        <c:v>0</c:v>
                      </c:pt>
                      <c:pt idx="2">
                        <c:v>179</c:v>
                      </c:pt>
                      <c:pt idx="3">
                        <c:v>204</c:v>
                      </c:pt>
                      <c:pt idx="4">
                        <c:v>204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B650-461E-8807-72878844F875}"/>
                  </c:ext>
                </c:extLst>
              </c15:ser>
            </c15:filteredScatterSeries>
          </c:ext>
        </c:extLst>
      </c:scatterChart>
      <c:valAx>
        <c:axId val="681670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0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76541353383458643"/>
          <c:h val="5.26473780220287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C52277-343A-93FE-5388-0F2B4D5A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35</v>
      </c>
      <c r="F1">
        <v>38233.25</v>
      </c>
      <c r="G1">
        <v>6.7125000000000004</v>
      </c>
      <c r="H1" t="s">
        <v>36</v>
      </c>
      <c r="I1" t="s">
        <v>37</v>
      </c>
    </row>
    <row r="2" spans="1:9" x14ac:dyDescent="0.2">
      <c r="A2" t="s">
        <v>24</v>
      </c>
      <c r="B2" s="40" t="s">
        <v>36</v>
      </c>
      <c r="C2" s="3"/>
      <c r="D2" s="3"/>
      <c r="E2" t="s">
        <v>37</v>
      </c>
    </row>
    <row r="3" spans="1:9" ht="13.5" thickBot="1" x14ac:dyDescent="0.25">
      <c r="A3" s="23"/>
    </row>
    <row r="4" spans="1:9" ht="14.25" thickTop="1" thickBot="1" x14ac:dyDescent="0.25">
      <c r="A4" s="5" t="s">
        <v>0</v>
      </c>
      <c r="C4" s="8">
        <v>38233.25</v>
      </c>
      <c r="D4" s="9">
        <v>6.7125000000000004</v>
      </c>
    </row>
    <row r="6" spans="1:9" x14ac:dyDescent="0.2">
      <c r="A6" s="5" t="s">
        <v>1</v>
      </c>
      <c r="E6" s="41" t="s">
        <v>12</v>
      </c>
    </row>
    <row r="7" spans="1:9" x14ac:dyDescent="0.2">
      <c r="A7" t="s">
        <v>2</v>
      </c>
      <c r="C7">
        <v>52643.85</v>
      </c>
      <c r="D7" s="40" t="s">
        <v>50</v>
      </c>
      <c r="E7" s="42">
        <v>38233.25</v>
      </c>
    </row>
    <row r="8" spans="1:9" x14ac:dyDescent="0.2">
      <c r="A8" t="s">
        <v>3</v>
      </c>
      <c r="C8">
        <v>4.4097999999999997</v>
      </c>
      <c r="D8" s="40" t="s">
        <v>50</v>
      </c>
      <c r="E8" s="43">
        <v>6.7125000000000004</v>
      </c>
    </row>
    <row r="9" spans="1:9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1">
        <f ca="1">INTERCEPT(INDIRECT($G$11):G991,INDIRECT($F$11):F991)</f>
        <v>2.8300027273615608E-2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9" x14ac:dyDescent="0.2">
      <c r="A12" s="12" t="s">
        <v>17</v>
      </c>
      <c r="B12" s="12"/>
      <c r="C12" s="21">
        <f ca="1">SLOPE(INDIRECT($G$11):G991,INDIRECT($F$11):F991)</f>
        <v>-1.8253029147660585E-4</v>
      </c>
      <c r="D12" s="3"/>
      <c r="E12" s="31" t="s">
        <v>44</v>
      </c>
      <c r="F12" s="32" t="s">
        <v>49</v>
      </c>
    </row>
    <row r="13" spans="1:9" x14ac:dyDescent="0.2">
      <c r="A13" s="12" t="s">
        <v>19</v>
      </c>
      <c r="B13" s="12"/>
      <c r="C13" s="3" t="s">
        <v>14</v>
      </c>
      <c r="D13" s="3"/>
      <c r="E13" s="33" t="s">
        <v>45</v>
      </c>
      <c r="F13" s="34">
        <v>1</v>
      </c>
    </row>
    <row r="14" spans="1:9" x14ac:dyDescent="0.2">
      <c r="A14" s="12"/>
      <c r="B14" s="12"/>
      <c r="C14" s="12"/>
      <c r="D14" s="12"/>
      <c r="E14" s="33" t="s">
        <v>31</v>
      </c>
      <c r="F14" s="35">
        <f ca="1">NOW()+15018.5+$C$9/24</f>
        <v>60525.615555324075</v>
      </c>
    </row>
    <row r="15" spans="1:9" x14ac:dyDescent="0.2">
      <c r="A15" s="14" t="s">
        <v>18</v>
      </c>
      <c r="B15" s="12"/>
      <c r="C15" s="15">
        <f ca="1">(C7+C11)+(C8+C12)*INT(MAX(F21:F3532))</f>
        <v>53543.440263847813</v>
      </c>
      <c r="D15" s="16" t="s">
        <v>31</v>
      </c>
      <c r="E15" s="33" t="s">
        <v>46</v>
      </c>
      <c r="F15" s="35">
        <f ca="1">ROUND(2*($F$14-$C$7)/$C$8,0)/2+$F$13</f>
        <v>1788.5</v>
      </c>
    </row>
    <row r="16" spans="1:9" x14ac:dyDescent="0.2">
      <c r="A16" s="17" t="s">
        <v>4</v>
      </c>
      <c r="B16" s="12"/>
      <c r="C16" s="18">
        <f ca="1">+C8+C12</f>
        <v>4.4096174697085235</v>
      </c>
      <c r="D16" s="16" t="s">
        <v>32</v>
      </c>
      <c r="E16" s="33" t="s">
        <v>32</v>
      </c>
      <c r="F16" s="35">
        <f ca="1">ROUND(2*($F$14-$C$15)/$C$16,0)/2+$F$13</f>
        <v>1584.5</v>
      </c>
    </row>
    <row r="17" spans="1:21" ht="13.5" thickBot="1" x14ac:dyDescent="0.25">
      <c r="A17" s="16" t="s">
        <v>28</v>
      </c>
      <c r="B17" s="12"/>
      <c r="C17" s="12">
        <f>COUNT(C21:C2190)</f>
        <v>5</v>
      </c>
      <c r="D17" s="16" t="s">
        <v>33</v>
      </c>
      <c r="E17" s="36" t="s">
        <v>47</v>
      </c>
      <c r="F17" s="37">
        <f ca="1">+$C$15+$C$16*$F$16-15018.5-$C$9/24</f>
        <v>45512.374977934305</v>
      </c>
    </row>
    <row r="18" spans="1:21" ht="14.25" thickTop="1" thickBot="1" x14ac:dyDescent="0.25">
      <c r="A18" s="17" t="s">
        <v>5</v>
      </c>
      <c r="B18" s="12"/>
      <c r="C18" s="19">
        <f ca="1">+C15</f>
        <v>53543.440263847813</v>
      </c>
      <c r="D18" s="20">
        <f ca="1">+C16</f>
        <v>4.4096174697085235</v>
      </c>
      <c r="E18" s="39" t="s">
        <v>48</v>
      </c>
      <c r="F18" s="38">
        <f ca="1">+($C$15+$C$16*$F$16)-($C$16/2)-15018.5-$C$9/24</f>
        <v>45510.170169199453</v>
      </c>
    </row>
    <row r="19" spans="1:21" ht="13.5" thickTop="1" x14ac:dyDescent="0.2">
      <c r="A19" s="24" t="s">
        <v>34</v>
      </c>
      <c r="E19" s="25">
        <v>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50</v>
      </c>
      <c r="J20" s="7" t="s">
        <v>51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4"/>
      <c r="S20" s="45" t="s">
        <v>52</v>
      </c>
    </row>
    <row r="21" spans="1:21" x14ac:dyDescent="0.2">
      <c r="A21" t="s">
        <v>12</v>
      </c>
      <c r="C21" s="10">
        <v>38233.25</v>
      </c>
      <c r="D21" s="10" t="s">
        <v>14</v>
      </c>
      <c r="E21">
        <f>+(C21-C$7)/C$8</f>
        <v>-3267.8579527416209</v>
      </c>
      <c r="F21">
        <f>ROUND(2*E21,0)/2</f>
        <v>-3268</v>
      </c>
      <c r="G21">
        <f>+C21-(C$7+F21*C$8)</f>
        <v>0.62640000000101281</v>
      </c>
      <c r="H21">
        <f>+G21</f>
        <v>0.62640000000101281</v>
      </c>
      <c r="O21">
        <f ca="1">+C$11+C$12*$F21</f>
        <v>0.62480901981916348</v>
      </c>
      <c r="Q21" s="2">
        <f>+C21-15018.5</f>
        <v>23214.75</v>
      </c>
    </row>
    <row r="22" spans="1:21" x14ac:dyDescent="0.2">
      <c r="A22" s="40" t="s">
        <v>50</v>
      </c>
      <c r="C22" s="10">
        <v>52643.85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2.8300027273615608E-2</v>
      </c>
      <c r="Q22" s="2">
        <f>+C22-15018.5</f>
        <v>37625.35</v>
      </c>
    </row>
    <row r="23" spans="1:21" x14ac:dyDescent="0.2">
      <c r="A23" s="29" t="s">
        <v>42</v>
      </c>
      <c r="B23" s="30" t="s">
        <v>39</v>
      </c>
      <c r="C23" s="29">
        <v>53433.209799999997</v>
      </c>
      <c r="D23" s="29">
        <v>1.8E-3</v>
      </c>
      <c r="E23">
        <f>+(C23-C$7)/C$8</f>
        <v>179.00126989886127</v>
      </c>
      <c r="F23">
        <f>ROUND(2*E23,0)/2</f>
        <v>179</v>
      </c>
      <c r="G23">
        <f>+C23-(C$7+F23*C$8)</f>
        <v>5.5999999967752956E-3</v>
      </c>
      <c r="J23">
        <f>+G23</f>
        <v>5.5999999967752956E-3</v>
      </c>
      <c r="O23">
        <f ca="1">+C$11+C$12*$F23</f>
        <v>-4.3728949006968387E-3</v>
      </c>
      <c r="Q23" s="2">
        <f>+C23-15018.5</f>
        <v>38414.709799999997</v>
      </c>
    </row>
    <row r="24" spans="1:21" x14ac:dyDescent="0.2">
      <c r="A24" s="26" t="s">
        <v>38</v>
      </c>
      <c r="B24" s="27" t="s">
        <v>39</v>
      </c>
      <c r="C24" s="26">
        <v>53542.463000000003</v>
      </c>
      <c r="D24" s="26">
        <v>3.0000000000000001E-3</v>
      </c>
      <c r="E24">
        <f>+(C24-C$7)/C$8</f>
        <v>203.77636173976254</v>
      </c>
      <c r="F24">
        <f>ROUND(2*E24,0)/2</f>
        <v>204</v>
      </c>
      <c r="O24">
        <f ca="1">+C$11+C$12*$F24</f>
        <v>-8.9361521876119843E-3</v>
      </c>
      <c r="Q24" s="2">
        <f>+C24-15018.5</f>
        <v>38523.963000000003</v>
      </c>
      <c r="S24">
        <f>+C24-(C$7+F24*C$8)</f>
        <v>-0.9861999999920954</v>
      </c>
      <c r="U24" s="40" t="s">
        <v>53</v>
      </c>
    </row>
    <row r="25" spans="1:21" x14ac:dyDescent="0.2">
      <c r="A25" s="28" t="s">
        <v>38</v>
      </c>
      <c r="B25" s="27" t="s">
        <v>41</v>
      </c>
      <c r="C25" s="28">
        <v>53543.457000000002</v>
      </c>
      <c r="D25" s="28">
        <v>3.0000000000000001E-3</v>
      </c>
      <c r="E25">
        <f>+(C25-C$7)/C$8</f>
        <v>204.00176878770097</v>
      </c>
      <c r="F25">
        <f>ROUND(2*E25,0)/2</f>
        <v>204</v>
      </c>
      <c r="G25">
        <f>+C25-(C$7+F25*C$8)</f>
        <v>7.8000000066822395E-3</v>
      </c>
      <c r="J25">
        <f>+G25</f>
        <v>7.8000000066822395E-3</v>
      </c>
      <c r="O25">
        <f ca="1">+C$11+C$12*$F25</f>
        <v>-8.9361521876119843E-3</v>
      </c>
      <c r="Q25" s="2">
        <f>+C25-15018.5</f>
        <v>38524.957000000002</v>
      </c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Y28">
    <sortCondition ref="C21:C2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2024-08-03T02:46:24Z</dcterms:modified>
</cp:coreProperties>
</file>