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E6556B7-FB6E-4923-8966-174DC0D5AB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F15" i="1" l="1"/>
  <c r="E22" i="1" l="1"/>
  <c r="F22" i="1"/>
  <c r="G22" i="1"/>
  <c r="I22" i="1"/>
  <c r="Q22" i="1"/>
  <c r="C21" i="1"/>
  <c r="E21" i="1"/>
  <c r="F21" i="1"/>
  <c r="G21" i="1"/>
  <c r="H21" i="1"/>
  <c r="G11" i="1"/>
  <c r="F11" i="1"/>
  <c r="C17" i="1"/>
  <c r="Q21" i="1"/>
  <c r="C11" i="1"/>
  <c r="C12" i="1"/>
  <c r="C16" i="1" l="1"/>
  <c r="D18" i="1" s="1"/>
  <c r="C15" i="1"/>
  <c r="O22" i="1"/>
  <c r="O21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<sst xmlns="http://schemas.openxmlformats.org/spreadsheetml/2006/main" count="54" uniqueCount="49">
  <si>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</si>
  <si>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</si>
  <si>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</si>
  <si>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</si>
  <si>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</si>
  <si>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</si>
  <si>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</si>
  <si>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</si>
  <si>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</si>
  <si>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</si>
  <si>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</si>
  <si>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</si>
  <si>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</si>
  <si>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</si>
  <si>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</si>
  <si>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</si>
  <si>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</si>
  <si>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</si>
  <si>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</si>
  <si>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</si>
  <si>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</si>
  <si>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</si>
  <si>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</si>
  <si>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</si>
  <si>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</si>
  <si>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</si>
  <si>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</si>
  <si>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</si>
  <si>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</si>
  <si>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</si>
  <si>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</si>
  <si>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</si>
  <si>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</si>
  <si>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</si>
  <si>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</si>
  <si>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</si>
  <si>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</si>
  <si>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</si>
  <si>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</si>
  <si>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</si>
  <si>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CE Cir / GSC 9013-0374</t>
  </si>
  <si>
    <t>EA</t>
  </si>
  <si>
    <t>IBVS 5931</t>
  </si>
  <si>
    <t>I</t>
  </si>
  <si>
    <t>CCD</t>
  </si>
  <si>
    <t xml:space="preserve">Mag </t>
  </si>
  <si>
    <t>Next ToM-P</t>
  </si>
  <si>
    <t>Next ToM-S</t>
  </si>
  <si>
    <t>7.93-8.11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</si>
</sst>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2" borderId="5" xfId="0" applyFill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17" fillId="0" borderId="8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22" fontId="17" fillId="0" borderId="8" xfId="0" applyNumberFormat="1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CE Cir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1F-437E-9485-29FDD7968E2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-8.7999999959720299E-3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E1F-437E-9485-29FDD7968E2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E1F-437E-9485-29FDD7968E2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E1F-437E-9485-29FDD7968E2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1F-437E-9485-29FDD7968E2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E1F-437E-9485-29FDD7968E2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E1F-437E-9485-29FDD7968E2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-8.7999999959720299E-3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E1F-437E-9485-29FDD7968E2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464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E1F-437E-9485-29FDD7968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892320"/>
        <c:axId val="1"/>
      </c:scatterChart>
      <c:valAx>
        <c:axId val="517892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7892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393D22E-F4CE-7B30-1D46-507F52F0B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42578125" customWidth="1"/>
    <col min="6" max="6" width="17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23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5" t="s">
        <v>38</v>
      </c>
      <c r="D4" s="26" t="s">
        <v>38</v>
      </c>
    </row>
    <row r="6" spans="1:7" x14ac:dyDescent="0.2">
      <c r="A6" s="5" t="s">
        <v>1</v>
      </c>
    </row>
    <row r="7" spans="1:7" x14ac:dyDescent="0.2">
      <c r="A7" t="s">
        <v>2</v>
      </c>
      <c r="C7" s="30">
        <v>48219.078999999998</v>
      </c>
      <c r="D7" s="27" t="s">
        <v>39</v>
      </c>
    </row>
    <row r="8" spans="1:7" x14ac:dyDescent="0.2">
      <c r="A8" t="s">
        <v>3</v>
      </c>
      <c r="C8" s="30">
        <v>13.932399999999999</v>
      </c>
      <c r="D8" s="27" t="s">
        <v>39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0</v>
      </c>
      <c r="D11" s="3"/>
      <c r="E11" s="10"/>
      <c r="F11" s="20" t="str">
        <f>"F"&amp;E19</f>
        <v>F21</v>
      </c>
      <c r="G11" s="21" t="str">
        <f>"G"&amp;E19</f>
        <v>G21</v>
      </c>
    </row>
    <row r="12" spans="1:7" x14ac:dyDescent="0.2">
      <c r="A12" s="10" t="s">
        <v>16</v>
      </c>
      <c r="B12" s="10"/>
      <c r="C12" s="19">
        <f ca="1">SLOPE(INDIRECT($G$11):G992,INDIRECT($F$11):F992)</f>
        <v>-1.8965517232698341E-5</v>
      </c>
      <c r="D12" s="3"/>
      <c r="E12" s="31" t="s">
        <v>45</v>
      </c>
      <c r="F12" s="39" t="s">
        <v>48</v>
      </c>
    </row>
    <row r="13" spans="1:7" x14ac:dyDescent="0.2">
      <c r="A13" s="10" t="s">
        <v>18</v>
      </c>
      <c r="B13" s="10"/>
      <c r="C13" s="3" t="s">
        <v>13</v>
      </c>
      <c r="D13" s="14"/>
      <c r="E13" s="32" t="s">
        <v>35</v>
      </c>
      <c r="F13" s="33">
        <v>1</v>
      </c>
    </row>
    <row r="14" spans="1:7" x14ac:dyDescent="0.2">
      <c r="A14" s="10"/>
      <c r="B14" s="10"/>
      <c r="C14" s="10"/>
      <c r="D14" s="14"/>
      <c r="E14" s="32" t="s">
        <v>32</v>
      </c>
      <c r="F14" s="34">
        <f ca="1">NOW()+15018.5+$C$9/24</f>
        <v>60525.695460532406</v>
      </c>
    </row>
    <row r="15" spans="1:7" x14ac:dyDescent="0.2">
      <c r="A15" s="12" t="s">
        <v>17</v>
      </c>
      <c r="B15" s="10"/>
      <c r="C15" s="13">
        <f ca="1">(C7+C11)+(C8+C12)*INT(MAX(F21:F3533))</f>
        <v>54683.703800000003</v>
      </c>
      <c r="D15" s="14"/>
      <c r="E15" s="32" t="s">
        <v>36</v>
      </c>
      <c r="F15" s="34">
        <f ca="1">ROUND(2*($F$14-$C$7)/$C$8,0)/2+$F$13</f>
        <v>884.5</v>
      </c>
    </row>
    <row r="16" spans="1:7" x14ac:dyDescent="0.2">
      <c r="A16" s="15" t="s">
        <v>4</v>
      </c>
      <c r="B16" s="10"/>
      <c r="C16" s="16">
        <f ca="1">+C8+C12</f>
        <v>13.932381034482766</v>
      </c>
      <c r="D16" s="14"/>
      <c r="E16" s="32" t="s">
        <v>37</v>
      </c>
      <c r="F16" s="34">
        <f ca="1">ROUND(2*($F$14-$C$15)/$C$16,0)/2+$F$13</f>
        <v>420.5</v>
      </c>
    </row>
    <row r="17" spans="1:18" ht="13.5" thickBot="1" x14ac:dyDescent="0.25">
      <c r="A17" s="14" t="s">
        <v>29</v>
      </c>
      <c r="B17" s="10"/>
      <c r="C17" s="10">
        <f>COUNT(C21:C2191)</f>
        <v>2</v>
      </c>
      <c r="D17" s="14"/>
      <c r="E17" s="35" t="s">
        <v>46</v>
      </c>
      <c r="F17" s="36">
        <f ca="1">+$C$15+$C$16*$F$16-15018.5-$C$9/24</f>
        <v>45524.165858333341</v>
      </c>
    </row>
    <row r="18" spans="1:18" ht="14.25" thickTop="1" thickBot="1" x14ac:dyDescent="0.25">
      <c r="A18" s="15" t="s">
        <v>5</v>
      </c>
      <c r="B18" s="10"/>
      <c r="C18" s="17">
        <f ca="1">+C15</f>
        <v>54683.703800000003</v>
      </c>
      <c r="D18" s="18">
        <f ca="1">+C16</f>
        <v>13.932381034482766</v>
      </c>
      <c r="E18" s="38" t="s">
        <v>47</v>
      </c>
      <c r="F18" s="37">
        <f ca="1">+($C$15+$C$16*$F$16)-($C$16/2)-15018.5-$C$9/24</f>
        <v>45517.199667816101</v>
      </c>
    </row>
    <row r="19" spans="1:18" ht="13.5" thickTop="1" x14ac:dyDescent="0.2">
      <c r="A19" s="22" t="s">
        <v>33</v>
      </c>
      <c r="E19" s="23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39</v>
      </c>
      <c r="I20" s="7" t="s">
        <v>28</v>
      </c>
      <c r="J20" s="7" t="s">
        <v>44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4" t="s">
        <v>34</v>
      </c>
    </row>
    <row r="21" spans="1:18" x14ac:dyDescent="0.2">
      <c r="A21" t="s">
        <v>39</v>
      </c>
      <c r="C21" s="8">
        <f>C7</f>
        <v>48219.078999999998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33200.578999999998</v>
      </c>
    </row>
    <row r="22" spans="1:18" x14ac:dyDescent="0.2">
      <c r="A22" s="28" t="s">
        <v>42</v>
      </c>
      <c r="B22" s="29" t="s">
        <v>43</v>
      </c>
      <c r="C22" s="28">
        <v>54683.703800000003</v>
      </c>
      <c r="D22" s="28">
        <v>2.8999999999999998E-3</v>
      </c>
      <c r="E22">
        <f>+(C22-C$7)/C$8</f>
        <v>463.99936837874344</v>
      </c>
      <c r="F22">
        <f>ROUND(2*E22,0)/2</f>
        <v>464</v>
      </c>
      <c r="G22">
        <f>+C22-(C$7+F22*C$8)</f>
        <v>-8.7999999959720299E-3</v>
      </c>
      <c r="I22">
        <f>+G22</f>
        <v>-8.7999999959720299E-3</v>
      </c>
      <c r="O22">
        <f ca="1">+C$11+C$12*$F22</f>
        <v>-8.7999999959720299E-3</v>
      </c>
      <c r="Q22" s="2">
        <f>+C22-15018.5</f>
        <v>39665.203800000003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2024-08-03T04:41:27Z</dcterms:modified>
</cp:coreProperties>
</file>