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6D39E83-6AD9-45B3-A023-ED5076809B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 (old)" sheetId="1" r:id="rId2"/>
    <sheet name="B" sheetId="2" r:id="rId3"/>
    <sheet name="BAV" sheetId="4" r:id="rId4"/>
  </sheets>
  <calcPr calcId="181029"/>
</workbook>
</file>

<file path=xl/calcChain.xml><?xml version="1.0" encoding="utf-8"?>
<calcChain xmlns="http://schemas.openxmlformats.org/spreadsheetml/2006/main">
  <c r="E43" i="3" l="1"/>
  <c r="F43" i="3"/>
  <c r="G43" i="3"/>
  <c r="K43" i="3"/>
  <c r="E42" i="3"/>
  <c r="F42" i="3"/>
  <c r="G42" i="3"/>
  <c r="K42" i="3"/>
  <c r="F21" i="3"/>
  <c r="G21" i="3"/>
  <c r="K21" i="3"/>
  <c r="E25" i="3"/>
  <c r="F25" i="3"/>
  <c r="G25" i="3"/>
  <c r="K25" i="3"/>
  <c r="E26" i="3"/>
  <c r="F26" i="3"/>
  <c r="G26" i="3"/>
  <c r="K26" i="3"/>
  <c r="E27" i="3"/>
  <c r="F27" i="3"/>
  <c r="G27" i="3"/>
  <c r="E28" i="3"/>
  <c r="F28" i="3"/>
  <c r="G28" i="3"/>
  <c r="I28" i="3"/>
  <c r="E29" i="3"/>
  <c r="F29" i="3"/>
  <c r="G29" i="3"/>
  <c r="I29" i="3"/>
  <c r="E30" i="3"/>
  <c r="F30" i="3"/>
  <c r="G30" i="3"/>
  <c r="K30" i="3"/>
  <c r="E31" i="3"/>
  <c r="F31" i="3"/>
  <c r="G31" i="3"/>
  <c r="I31" i="3"/>
  <c r="E34" i="3"/>
  <c r="F34" i="3"/>
  <c r="G34" i="3"/>
  <c r="I34" i="3"/>
  <c r="E35" i="3"/>
  <c r="F35" i="3"/>
  <c r="G35" i="3"/>
  <c r="K35" i="3"/>
  <c r="E36" i="3"/>
  <c r="F36" i="3"/>
  <c r="G36" i="3"/>
  <c r="E37" i="3"/>
  <c r="F37" i="3"/>
  <c r="G37" i="3"/>
  <c r="E38" i="3"/>
  <c r="F38" i="3"/>
  <c r="G38" i="3"/>
  <c r="J38" i="3"/>
  <c r="E39" i="3"/>
  <c r="F39" i="3"/>
  <c r="G39" i="3"/>
  <c r="K39" i="3"/>
  <c r="E40" i="3"/>
  <c r="F40" i="3"/>
  <c r="G40" i="3"/>
  <c r="K40" i="3"/>
  <c r="E41" i="3"/>
  <c r="F41" i="3"/>
  <c r="G41" i="3"/>
  <c r="K41" i="3"/>
  <c r="E32" i="3"/>
  <c r="F32" i="3"/>
  <c r="E33" i="3"/>
  <c r="F33" i="3"/>
  <c r="Q43" i="3"/>
  <c r="Q42" i="3"/>
  <c r="E21" i="3"/>
  <c r="E22" i="3"/>
  <c r="F22" i="3"/>
  <c r="G22" i="3"/>
  <c r="K22" i="3"/>
  <c r="E23" i="3"/>
  <c r="F23" i="3"/>
  <c r="G23" i="3"/>
  <c r="K23" i="3"/>
  <c r="E24" i="3"/>
  <c r="F24" i="3"/>
  <c r="G24" i="3"/>
  <c r="K24" i="3"/>
  <c r="D9" i="3"/>
  <c r="C9" i="3"/>
  <c r="Q28" i="3"/>
  <c r="Q29" i="3"/>
  <c r="Q31" i="3"/>
  <c r="G27" i="4"/>
  <c r="C27" i="4"/>
  <c r="E27" i="4"/>
  <c r="G26" i="4"/>
  <c r="C26" i="4"/>
  <c r="E26" i="4"/>
  <c r="G25" i="4"/>
  <c r="C25" i="4"/>
  <c r="E25" i="4"/>
  <c r="G24" i="4"/>
  <c r="C24" i="4"/>
  <c r="E24" i="4"/>
  <c r="G23" i="4"/>
  <c r="C23" i="4"/>
  <c r="E23" i="4"/>
  <c r="G22" i="4"/>
  <c r="C22" i="4"/>
  <c r="E22" i="4"/>
  <c r="G21" i="4"/>
  <c r="C21" i="4"/>
  <c r="E21" i="4"/>
  <c r="G20" i="4"/>
  <c r="C20" i="4"/>
  <c r="E20" i="4"/>
  <c r="G19" i="4"/>
  <c r="C19" i="4"/>
  <c r="E19" i="4"/>
  <c r="G30" i="4"/>
  <c r="C30" i="4"/>
  <c r="E30" i="4"/>
  <c r="G18" i="4"/>
  <c r="C18" i="4"/>
  <c r="E18" i="4"/>
  <c r="G29" i="4"/>
  <c r="C29" i="4"/>
  <c r="E29" i="4"/>
  <c r="G28" i="4"/>
  <c r="C28" i="4"/>
  <c r="E28" i="4"/>
  <c r="G17" i="4"/>
  <c r="C17" i="4"/>
  <c r="E17" i="4"/>
  <c r="G16" i="4"/>
  <c r="C16" i="4"/>
  <c r="E16" i="4"/>
  <c r="G15" i="4"/>
  <c r="C15" i="4"/>
  <c r="E15" i="4"/>
  <c r="G14" i="4"/>
  <c r="C14" i="4"/>
  <c r="E14" i="4"/>
  <c r="G13" i="4"/>
  <c r="C13" i="4"/>
  <c r="E13" i="4"/>
  <c r="G12" i="4"/>
  <c r="C12" i="4"/>
  <c r="E12" i="4"/>
  <c r="G11" i="4"/>
  <c r="C11" i="4"/>
  <c r="E11" i="4"/>
  <c r="H27" i="4"/>
  <c r="D27" i="4"/>
  <c r="B27" i="4"/>
  <c r="A27" i="4"/>
  <c r="H26" i="4"/>
  <c r="B26" i="4"/>
  <c r="D26" i="4"/>
  <c r="A26" i="4"/>
  <c r="H25" i="4"/>
  <c r="D25" i="4"/>
  <c r="B25" i="4"/>
  <c r="A25" i="4"/>
  <c r="H24" i="4"/>
  <c r="B24" i="4"/>
  <c r="D24" i="4"/>
  <c r="A24" i="4"/>
  <c r="H23" i="4"/>
  <c r="D23" i="4"/>
  <c r="B23" i="4"/>
  <c r="A23" i="4"/>
  <c r="H22" i="4"/>
  <c r="B22" i="4"/>
  <c r="D22" i="4"/>
  <c r="A22" i="4"/>
  <c r="H21" i="4"/>
  <c r="D21" i="4"/>
  <c r="B21" i="4"/>
  <c r="A21" i="4"/>
  <c r="H20" i="4"/>
  <c r="B20" i="4"/>
  <c r="D20" i="4"/>
  <c r="A20" i="4"/>
  <c r="H19" i="4"/>
  <c r="D19" i="4"/>
  <c r="B19" i="4"/>
  <c r="A19" i="4"/>
  <c r="H30" i="4"/>
  <c r="B30" i="4"/>
  <c r="D30" i="4"/>
  <c r="A30" i="4"/>
  <c r="H18" i="4"/>
  <c r="D18" i="4"/>
  <c r="B18" i="4"/>
  <c r="A18" i="4"/>
  <c r="H29" i="4"/>
  <c r="B29" i="4"/>
  <c r="D29" i="4"/>
  <c r="A29" i="4"/>
  <c r="H28" i="4"/>
  <c r="D28" i="4"/>
  <c r="B28" i="4"/>
  <c r="A28" i="4"/>
  <c r="H17" i="4"/>
  <c r="B17" i="4"/>
  <c r="D17" i="4"/>
  <c r="A17" i="4"/>
  <c r="H16" i="4"/>
  <c r="D16" i="4"/>
  <c r="B16" i="4"/>
  <c r="A16" i="4"/>
  <c r="H15" i="4"/>
  <c r="B15" i="4"/>
  <c r="D15" i="4"/>
  <c r="A15" i="4"/>
  <c r="H14" i="4"/>
  <c r="D14" i="4"/>
  <c r="B14" i="4"/>
  <c r="A14" i="4"/>
  <c r="H13" i="4"/>
  <c r="B13" i="4"/>
  <c r="D13" i="4"/>
  <c r="A13" i="4"/>
  <c r="H12" i="4"/>
  <c r="D12" i="4"/>
  <c r="B12" i="4"/>
  <c r="A12" i="4"/>
  <c r="H11" i="4"/>
  <c r="B11" i="4"/>
  <c r="D11" i="4"/>
  <c r="A11" i="4"/>
  <c r="Q41" i="3"/>
  <c r="Q38" i="3"/>
  <c r="Q39" i="3"/>
  <c r="Q40" i="3"/>
  <c r="Q34" i="3"/>
  <c r="F16" i="3"/>
  <c r="F17" i="3" s="1"/>
  <c r="C17" i="3"/>
  <c r="K36" i="3"/>
  <c r="Q21" i="3"/>
  <c r="Q22" i="3"/>
  <c r="Q23" i="3"/>
  <c r="Q24" i="3"/>
  <c r="Q25" i="3"/>
  <c r="Q26" i="3"/>
  <c r="K27" i="3"/>
  <c r="Q27" i="3"/>
  <c r="Q30" i="3"/>
  <c r="Q32" i="3"/>
  <c r="Q33" i="3"/>
  <c r="Q35" i="3"/>
  <c r="Q36" i="3"/>
  <c r="K37" i="3"/>
  <c r="Q37" i="3"/>
  <c r="E33" i="2"/>
  <c r="F33" i="2"/>
  <c r="G33" i="2"/>
  <c r="I33" i="2"/>
  <c r="F11" i="2"/>
  <c r="Q33" i="2"/>
  <c r="G11" i="2"/>
  <c r="E15" i="2"/>
  <c r="C17" i="2"/>
  <c r="Q32" i="2"/>
  <c r="E31" i="2"/>
  <c r="F31" i="2"/>
  <c r="G31" i="2"/>
  <c r="I31" i="2"/>
  <c r="E32" i="2"/>
  <c r="F32" i="2"/>
  <c r="G32" i="2"/>
  <c r="I32" i="2"/>
  <c r="E28" i="2"/>
  <c r="F28" i="2"/>
  <c r="G28" i="2"/>
  <c r="I28" i="2"/>
  <c r="E29" i="2"/>
  <c r="F29" i="2"/>
  <c r="G29" i="2"/>
  <c r="H29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30" i="2"/>
  <c r="F30" i="2"/>
  <c r="Q31" i="2"/>
  <c r="Q28" i="2"/>
  <c r="Q29" i="2"/>
  <c r="Q30" i="2"/>
  <c r="I21" i="2"/>
  <c r="Q21" i="2"/>
  <c r="I22" i="2"/>
  <c r="Q22" i="2"/>
  <c r="I23" i="2"/>
  <c r="Q23" i="2"/>
  <c r="I24" i="2"/>
  <c r="Q24" i="2"/>
  <c r="I25" i="2"/>
  <c r="Q25" i="2"/>
  <c r="I26" i="2"/>
  <c r="Q26" i="2"/>
  <c r="I27" i="2"/>
  <c r="Q27" i="2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I24" i="1"/>
  <c r="Q24" i="1"/>
  <c r="I25" i="1"/>
  <c r="Q25" i="1"/>
  <c r="I26" i="1"/>
  <c r="Q26" i="1"/>
  <c r="I27" i="1"/>
  <c r="Q27" i="1"/>
  <c r="I28" i="1"/>
  <c r="Q28" i="1"/>
  <c r="I29" i="1"/>
  <c r="Q29" i="1"/>
  <c r="I30" i="1"/>
  <c r="Q30" i="1"/>
  <c r="E22" i="1"/>
  <c r="F22" i="1"/>
  <c r="E21" i="1"/>
  <c r="F21" i="1"/>
  <c r="G21" i="1"/>
  <c r="E23" i="1"/>
  <c r="F23" i="1"/>
  <c r="G23" i="1"/>
  <c r="Q22" i="1"/>
  <c r="I23" i="1"/>
  <c r="Q23" i="1"/>
  <c r="C17" i="1"/>
  <c r="Q21" i="1"/>
  <c r="C12" i="1"/>
  <c r="C16" i="1"/>
  <c r="D18" i="1"/>
  <c r="I21" i="1"/>
  <c r="C11" i="1"/>
  <c r="O24" i="1"/>
  <c r="O27" i="1"/>
  <c r="O30" i="1"/>
  <c r="O25" i="1"/>
  <c r="C15" i="1"/>
  <c r="C18" i="1"/>
  <c r="O29" i="1"/>
  <c r="O23" i="1"/>
  <c r="O26" i="1"/>
  <c r="O28" i="1"/>
  <c r="O22" i="1"/>
  <c r="O21" i="1"/>
  <c r="C12" i="2"/>
  <c r="C11" i="2"/>
  <c r="C12" i="3"/>
  <c r="C11" i="3"/>
  <c r="O21" i="3" l="1"/>
  <c r="O37" i="3"/>
  <c r="C15" i="3"/>
  <c r="O23" i="3"/>
  <c r="O35" i="3"/>
  <c r="O42" i="3"/>
  <c r="O33" i="3"/>
  <c r="O31" i="3"/>
  <c r="O36" i="3"/>
  <c r="O26" i="3"/>
  <c r="O41" i="3"/>
  <c r="O27" i="3"/>
  <c r="O40" i="3"/>
  <c r="O30" i="3"/>
  <c r="O38" i="3"/>
  <c r="O29" i="3"/>
  <c r="O24" i="3"/>
  <c r="O43" i="3"/>
  <c r="O25" i="3"/>
  <c r="O39" i="3"/>
  <c r="O28" i="3"/>
  <c r="O32" i="3"/>
  <c r="O34" i="3"/>
  <c r="O22" i="3"/>
  <c r="C16" i="3"/>
  <c r="D18" i="3" s="1"/>
  <c r="O26" i="2"/>
  <c r="O25" i="2"/>
  <c r="O30" i="2"/>
  <c r="O32" i="2"/>
  <c r="O21" i="2"/>
  <c r="O22" i="2"/>
  <c r="O27" i="2"/>
  <c r="O28" i="2"/>
  <c r="O33" i="2"/>
  <c r="O29" i="2"/>
  <c r="O31" i="2"/>
  <c r="O24" i="2"/>
  <c r="O23" i="2"/>
  <c r="C15" i="2"/>
  <c r="C16" i="2"/>
  <c r="D18" i="2" s="1"/>
  <c r="F18" i="3" l="1"/>
  <c r="F19" i="3" s="1"/>
  <c r="C18" i="3"/>
  <c r="C18" i="2"/>
  <c r="E16" i="2"/>
  <c r="E17" i="2" s="1"/>
</calcChain>
</file>

<file path=xl/sharedStrings.xml><?xml version="1.0" encoding="utf-8"?>
<sst xmlns="http://schemas.openxmlformats.org/spreadsheetml/2006/main" count="388" uniqueCount="156">
  <si>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</si>
  <si>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</si>
  <si>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</si>
  <si>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</si>
  <si>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</si>
  <si>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</si>
  <si>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</si>
  <si>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</si>
  <si>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</si>
  <si>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</si>
  <si>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</si>
  <si>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</si>
  <si>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</si>
  <si>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</si>
  <si>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</si>
  <si>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</si>
  <si>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</si>
  <si>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</si>
  <si>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</si>
  <si>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</si>
  <si>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</si>
  <si>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</si>
  <si>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</si>
  <si>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</si>
  <si>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</si>
  <si>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</si>
  <si>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</si>
  <si>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</si>
  <si>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</si>
  <si>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</si>
  <si>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</si>
  <si>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# of data points:</t>
  </si>
  <si>
    <t>GQ Cnc / GSC 01954-00180</t>
  </si>
  <si>
    <t>IBVS 5583</t>
  </si>
  <si>
    <t>II</t>
  </si>
  <si>
    <t>IBVS 5438</t>
  </si>
  <si>
    <t>I</t>
  </si>
  <si>
    <t>ASAS Eph.</t>
  </si>
  <si>
    <t>ASAS</t>
  </si>
  <si>
    <t>Available at:</t>
  </si>
  <si>
    <t>http://www.aavso.org/vsx/index.php?view=detail.top&amp;oid=88885</t>
  </si>
  <si>
    <t>IBVS 4393</t>
  </si>
  <si>
    <t>aka NSV 04411</t>
  </si>
  <si>
    <t>IBVS 4393 Eph.</t>
  </si>
  <si>
    <t>EW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</si>
  <si>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</si>
  <si>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</si>
  <si>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</si>
  <si>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</si>
  <si>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</si>
  <si>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</si>
  <si>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5894</t>
  </si>
  <si>
    <t>Start of linear fit &gt;&gt;&gt;&gt;&gt;&gt;&gt;&gt;&gt;&gt;&gt;&gt;&gt;&gt;&gt;&gt;&gt;&gt;&gt;&gt;&gt;</t>
  </si>
  <si>
    <t>IBVS 5945</t>
  </si>
  <si>
    <t>Add cycle</t>
  </si>
  <si>
    <t>Old Cycle</t>
  </si>
  <si>
    <t>IBVS 5959</t>
  </si>
  <si>
    <t>IBVS 5992</t>
  </si>
  <si>
    <t>OEJV 0003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</si>
  <si>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</si>
  <si>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</si>
  <si>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</si>
  <si>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</si>
  <si>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</si>
  <si>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</si>
  <si>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</si>
  <si>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</si>
  <si>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</si>
  <si>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</si>
  <si>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</si>
  <si>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</si>
  <si>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2450154.4206 </t>
  </si>
  <si>
    <t> 11.03.1996 22:05 </t>
  </si>
  <si>
    <t> -0.0098 </t>
  </si>
  <si>
    <t>E </t>
  </si>
  <si>
    <t>?</t>
  </si>
  <si>
    <t> J.Vidal-Sainz et al. </t>
  </si>
  <si>
    <t>IBVS 4393 </t>
  </si>
  <si>
    <t>2450159.4876 </t>
  </si>
  <si>
    <t> 16.03.1996 23:42 </t>
  </si>
  <si>
    <t> -0.0093 </t>
  </si>
  <si>
    <t>2450164.3426 </t>
  </si>
  <si>
    <t> 21.03.1996 20:13 </t>
  </si>
  <si>
    <t> -0.0097 </t>
  </si>
  <si>
    <t>2450165.3996 </t>
  </si>
  <si>
    <t> 22.03.1996 21:35 </t>
  </si>
  <si>
    <t> -0.0082 </t>
  </si>
  <si>
    <t>2450207.4174 </t>
  </si>
  <si>
    <t> 03.05.1996 22:01 </t>
  </si>
  <si>
    <t> -0.0002 </t>
  </si>
  <si>
    <t>2450218.3948 </t>
  </si>
  <si>
    <t> 14.05.1996 21:28 </t>
  </si>
  <si>
    <t>2450226.4173 </t>
  </si>
  <si>
    <t> 22.05.1996 22:00 </t>
  </si>
  <si>
    <t> 0.0003 </t>
  </si>
  <si>
    <t>2451199.608 </t>
  </si>
  <si>
    <t> 21.01.1999 02:35 </t>
  </si>
  <si>
    <t> 0.000 </t>
  </si>
  <si>
    <t> R.Diethelm </t>
  </si>
  <si>
    <t> BBS 119 </t>
  </si>
  <si>
    <t>2451984.494 </t>
  </si>
  <si>
    <t> 15.03.2001 23:51 </t>
  </si>
  <si>
    <t> 0.001 </t>
  </si>
  <si>
    <t> BBS 125 </t>
  </si>
  <si>
    <t>2452279.6194 </t>
  </si>
  <si>
    <t> 05.01.2002 02:51 </t>
  </si>
  <si>
    <t> 0.0025 </t>
  </si>
  <si>
    <t> M.Zejda </t>
  </si>
  <si>
    <t>IBVS 5583 </t>
  </si>
  <si>
    <t>2452362.3700 </t>
  </si>
  <si>
    <t> 28.03.2002 20:52 </t>
  </si>
  <si>
    <t> 0.0002 </t>
  </si>
  <si>
    <t> BBS 128 </t>
  </si>
  <si>
    <t>2452691.2705 </t>
  </si>
  <si>
    <t> 20.02.2003 18:29 </t>
  </si>
  <si>
    <t> E.Blättler </t>
  </si>
  <si>
    <t> BBS 129 </t>
  </si>
  <si>
    <t>2453325.631 </t>
  </si>
  <si>
    <t> 16.11.2004 03:08 </t>
  </si>
  <si>
    <t> -0.007 </t>
  </si>
  <si>
    <t>V </t>
  </si>
  <si>
    <t> K.Locher </t>
  </si>
  <si>
    <t>OEJV 0003 </t>
  </si>
  <si>
    <t>2454839.8837 </t>
  </si>
  <si>
    <t> 08.01.2009 09:12 </t>
  </si>
  <si>
    <t> -0.0055 </t>
  </si>
  <si>
    <t>C </t>
  </si>
  <si>
    <t>IBVS 5894 </t>
  </si>
  <si>
    <t>2454842.8436 </t>
  </si>
  <si>
    <t> 11.01.2009 08:14 </t>
  </si>
  <si>
    <t> -0.0011 </t>
  </si>
  <si>
    <t>2455245.8432 </t>
  </si>
  <si>
    <t> 18.02.2010 08:14 </t>
  </si>
  <si>
    <t> 0.0005 </t>
  </si>
  <si>
    <t>IBVS 5945 </t>
  </si>
  <si>
    <t>2455275.3979 </t>
  </si>
  <si>
    <t> 19.03.2010 21:32 </t>
  </si>
  <si>
    <t> 0.0006 </t>
  </si>
  <si>
    <t>-I</t>
  </si>
  <si>
    <t> F.Agerer </t>
  </si>
  <si>
    <t>BAVM 214 </t>
  </si>
  <si>
    <t>2455577.9104 </t>
  </si>
  <si>
    <t> 16.01.2011 09:50 </t>
  </si>
  <si>
    <t>-177</t>
  </si>
  <si>
    <t> 0.0007 </t>
  </si>
  <si>
    <t>IBVS 5992 </t>
  </si>
  <si>
    <t>2455652.6406 </t>
  </si>
  <si>
    <t> 01.04.2011 03:22 </t>
  </si>
  <si>
    <t>0</t>
  </si>
  <si>
    <t> 0.0000 </t>
  </si>
  <si>
    <t>2456002.6490 </t>
  </si>
  <si>
    <t> 16.03.2012 03:34 </t>
  </si>
  <si>
    <t>829</t>
  </si>
  <si>
    <t> -0.0024 </t>
  </si>
  <si>
    <t>IBVS 6029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</si>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</sst>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4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/>
    <xf numFmtId="0" fontId="0" fillId="0" borderId="0" xfId="0" applyAlignment="1">
      <alignment horizontal="right"/>
    </xf>
    <xf numFmtId="0" fontId="0" fillId="0" borderId="11" xfId="0" applyBorder="1" applyAlignment="1"/>
    <xf numFmtId="0" fontId="0" fillId="0" borderId="12" xfId="0" applyBorder="1" applyAlignment="1">
      <alignment horizont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0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/>
    <xf numFmtId="0" fontId="20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21" fillId="24" borderId="19" xfId="38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10" xfId="0" applyFont="1" applyBorder="1" applyAlignment="1">
      <alignment horizontal="center"/>
    </xf>
    <xf numFmtId="0" fontId="19" fillId="0" borderId="0" xfId="42" applyFont="1" applyAlignment="1">
      <alignment wrapText="1"/>
    </xf>
    <xf numFmtId="0" fontId="19" fillId="0" borderId="0" xfId="42" applyFont="1" applyAlignment="1">
      <alignment horizontal="center" wrapText="1"/>
    </xf>
    <xf numFmtId="0" fontId="19" fillId="0" borderId="0" xfId="42" applyFont="1" applyAlignment="1">
      <alignment horizontal="left" wrapText="1"/>
    </xf>
    <xf numFmtId="0" fontId="5" fillId="0" borderId="0" xfId="0" applyNumberFormat="1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GQ Cnc - O-C Diagr.</a:t>
            </a:r>
          </a:p>
        </c:rich>
      </c:tx>
      <c:layout>
        <c:manualLayout>
          <c:xMode val="edge"/>
          <c:yMode val="edge"/>
          <c:x val="0.3747984006038017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723926380368099"/>
          <c:w val="0.8158326306232256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-5847.5</c:v>
                </c:pt>
                <c:pt idx="1">
                  <c:v>-5835.5</c:v>
                </c:pt>
                <c:pt idx="2">
                  <c:v>-5824</c:v>
                </c:pt>
                <c:pt idx="3">
                  <c:v>-5821.5</c:v>
                </c:pt>
                <c:pt idx="4">
                  <c:v>-5722</c:v>
                </c:pt>
                <c:pt idx="5">
                  <c:v>-5696</c:v>
                </c:pt>
                <c:pt idx="6">
                  <c:v>-5677</c:v>
                </c:pt>
                <c:pt idx="7">
                  <c:v>-3372</c:v>
                </c:pt>
                <c:pt idx="8">
                  <c:v>-1513</c:v>
                </c:pt>
                <c:pt idx="9">
                  <c:v>-814</c:v>
                </c:pt>
                <c:pt idx="10">
                  <c:v>-618</c:v>
                </c:pt>
                <c:pt idx="11">
                  <c:v>0</c:v>
                </c:pt>
                <c:pt idx="12">
                  <c:v>161</c:v>
                </c:pt>
                <c:pt idx="13">
                  <c:v>1663.5</c:v>
                </c:pt>
                <c:pt idx="14">
                  <c:v>5250</c:v>
                </c:pt>
                <c:pt idx="15">
                  <c:v>5257</c:v>
                </c:pt>
                <c:pt idx="16">
                  <c:v>6211.5</c:v>
                </c:pt>
                <c:pt idx="17">
                  <c:v>6281.5</c:v>
                </c:pt>
                <c:pt idx="18">
                  <c:v>6998</c:v>
                </c:pt>
                <c:pt idx="19">
                  <c:v>7175</c:v>
                </c:pt>
                <c:pt idx="20">
                  <c:v>8004</c:v>
                </c:pt>
                <c:pt idx="21">
                  <c:v>11347.5</c:v>
                </c:pt>
                <c:pt idx="22">
                  <c:v>11348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3-4391-B140-94085A0E8D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-5847.5</c:v>
                </c:pt>
                <c:pt idx="1">
                  <c:v>-5835.5</c:v>
                </c:pt>
                <c:pt idx="2">
                  <c:v>-5824</c:v>
                </c:pt>
                <c:pt idx="3">
                  <c:v>-5821.5</c:v>
                </c:pt>
                <c:pt idx="4">
                  <c:v>-5722</c:v>
                </c:pt>
                <c:pt idx="5">
                  <c:v>-5696</c:v>
                </c:pt>
                <c:pt idx="6">
                  <c:v>-5677</c:v>
                </c:pt>
                <c:pt idx="7">
                  <c:v>-3372</c:v>
                </c:pt>
                <c:pt idx="8">
                  <c:v>-1513</c:v>
                </c:pt>
                <c:pt idx="9">
                  <c:v>-814</c:v>
                </c:pt>
                <c:pt idx="10">
                  <c:v>-618</c:v>
                </c:pt>
                <c:pt idx="11">
                  <c:v>0</c:v>
                </c:pt>
                <c:pt idx="12">
                  <c:v>161</c:v>
                </c:pt>
                <c:pt idx="13">
                  <c:v>1663.5</c:v>
                </c:pt>
                <c:pt idx="14">
                  <c:v>5250</c:v>
                </c:pt>
                <c:pt idx="15">
                  <c:v>5257</c:v>
                </c:pt>
                <c:pt idx="16">
                  <c:v>6211.5</c:v>
                </c:pt>
                <c:pt idx="17">
                  <c:v>6281.5</c:v>
                </c:pt>
                <c:pt idx="18">
                  <c:v>6998</c:v>
                </c:pt>
                <c:pt idx="19">
                  <c:v>7175</c:v>
                </c:pt>
                <c:pt idx="20">
                  <c:v>8004</c:v>
                </c:pt>
                <c:pt idx="21">
                  <c:v>11347.5</c:v>
                </c:pt>
                <c:pt idx="22">
                  <c:v>11348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7">
                  <c:v>7.3376000000280328E-2</c:v>
                </c:pt>
                <c:pt idx="8">
                  <c:v>7.470399999874644E-2</c:v>
                </c:pt>
                <c:pt idx="10">
                  <c:v>7.454400000278838E-2</c:v>
                </c:pt>
                <c:pt idx="13">
                  <c:v>6.7991999996593222E-2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B3-4391-B140-94085A0E8D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-5847.5</c:v>
                </c:pt>
                <c:pt idx="1">
                  <c:v>-5835.5</c:v>
                </c:pt>
                <c:pt idx="2">
                  <c:v>-5824</c:v>
                </c:pt>
                <c:pt idx="3">
                  <c:v>-5821.5</c:v>
                </c:pt>
                <c:pt idx="4">
                  <c:v>-5722</c:v>
                </c:pt>
                <c:pt idx="5">
                  <c:v>-5696</c:v>
                </c:pt>
                <c:pt idx="6">
                  <c:v>-5677</c:v>
                </c:pt>
                <c:pt idx="7">
                  <c:v>-3372</c:v>
                </c:pt>
                <c:pt idx="8">
                  <c:v>-1513</c:v>
                </c:pt>
                <c:pt idx="9">
                  <c:v>-814</c:v>
                </c:pt>
                <c:pt idx="10">
                  <c:v>-618</c:v>
                </c:pt>
                <c:pt idx="11">
                  <c:v>0</c:v>
                </c:pt>
                <c:pt idx="12">
                  <c:v>161</c:v>
                </c:pt>
                <c:pt idx="13">
                  <c:v>1663.5</c:v>
                </c:pt>
                <c:pt idx="14">
                  <c:v>5250</c:v>
                </c:pt>
                <c:pt idx="15">
                  <c:v>5257</c:v>
                </c:pt>
                <c:pt idx="16">
                  <c:v>6211.5</c:v>
                </c:pt>
                <c:pt idx="17">
                  <c:v>6281.5</c:v>
                </c:pt>
                <c:pt idx="18">
                  <c:v>6998</c:v>
                </c:pt>
                <c:pt idx="19">
                  <c:v>7175</c:v>
                </c:pt>
                <c:pt idx="20">
                  <c:v>8004</c:v>
                </c:pt>
                <c:pt idx="21">
                  <c:v>11347.5</c:v>
                </c:pt>
                <c:pt idx="22">
                  <c:v>11348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7">
                  <c:v>7.8348000002733897E-2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B3-4391-B140-94085A0E8D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-5847.5</c:v>
                </c:pt>
                <c:pt idx="1">
                  <c:v>-5835.5</c:v>
                </c:pt>
                <c:pt idx="2">
                  <c:v>-5824</c:v>
                </c:pt>
                <c:pt idx="3">
                  <c:v>-5821.5</c:v>
                </c:pt>
                <c:pt idx="4">
                  <c:v>-5722</c:v>
                </c:pt>
                <c:pt idx="5">
                  <c:v>-5696</c:v>
                </c:pt>
                <c:pt idx="6">
                  <c:v>-5677</c:v>
                </c:pt>
                <c:pt idx="7">
                  <c:v>-3372</c:v>
                </c:pt>
                <c:pt idx="8">
                  <c:v>-1513</c:v>
                </c:pt>
                <c:pt idx="9">
                  <c:v>-814</c:v>
                </c:pt>
                <c:pt idx="10">
                  <c:v>-618</c:v>
                </c:pt>
                <c:pt idx="11">
                  <c:v>0</c:v>
                </c:pt>
                <c:pt idx="12">
                  <c:v>161</c:v>
                </c:pt>
                <c:pt idx="13">
                  <c:v>1663.5</c:v>
                </c:pt>
                <c:pt idx="14">
                  <c:v>5250</c:v>
                </c:pt>
                <c:pt idx="15">
                  <c:v>5257</c:v>
                </c:pt>
                <c:pt idx="16">
                  <c:v>6211.5</c:v>
                </c:pt>
                <c:pt idx="17">
                  <c:v>6281.5</c:v>
                </c:pt>
                <c:pt idx="18">
                  <c:v>6998</c:v>
                </c:pt>
                <c:pt idx="19">
                  <c:v>7175</c:v>
                </c:pt>
                <c:pt idx="20">
                  <c:v>8004</c:v>
                </c:pt>
                <c:pt idx="21">
                  <c:v>11347.5</c:v>
                </c:pt>
                <c:pt idx="22">
                  <c:v>11348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6.1879999993834645E-2</c:v>
                </c:pt>
                <c:pt idx="1">
                  <c:v>6.238399999710964E-2</c:v>
                </c:pt>
                <c:pt idx="2">
                  <c:v>6.1992000002646819E-2</c:v>
                </c:pt>
                <c:pt idx="3">
                  <c:v>6.3471999994362704E-2</c:v>
                </c:pt>
                <c:pt idx="4">
                  <c:v>7.157599999482045E-2</c:v>
                </c:pt>
                <c:pt idx="5">
                  <c:v>7.1567999999388121E-2</c:v>
                </c:pt>
                <c:pt idx="6">
                  <c:v>7.2116000003006775E-2</c:v>
                </c:pt>
                <c:pt idx="9">
                  <c:v>7.6712000001862179E-2</c:v>
                </c:pt>
                <c:pt idx="14">
                  <c:v>7.1700000000419095E-2</c:v>
                </c:pt>
                <c:pt idx="15">
                  <c:v>7.6143999998748768E-2</c:v>
                </c:pt>
                <c:pt idx="16">
                  <c:v>7.8207999998994637E-2</c:v>
                </c:pt>
                <c:pt idx="18">
                  <c:v>7.8816000001097564E-2</c:v>
                </c:pt>
                <c:pt idx="19">
                  <c:v>7.8199999996286351E-2</c:v>
                </c:pt>
                <c:pt idx="20">
                  <c:v>7.6167999999597669E-2</c:v>
                </c:pt>
                <c:pt idx="21">
                  <c:v>8.1720000001951121E-2</c:v>
                </c:pt>
                <c:pt idx="22">
                  <c:v>8.191600000282051E-2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B3-4391-B140-94085A0E8D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-5847.5</c:v>
                </c:pt>
                <c:pt idx="1">
                  <c:v>-5835.5</c:v>
                </c:pt>
                <c:pt idx="2">
                  <c:v>-5824</c:v>
                </c:pt>
                <c:pt idx="3">
                  <c:v>-5821.5</c:v>
                </c:pt>
                <c:pt idx="4">
                  <c:v>-5722</c:v>
                </c:pt>
                <c:pt idx="5">
                  <c:v>-5696</c:v>
                </c:pt>
                <c:pt idx="6">
                  <c:v>-5677</c:v>
                </c:pt>
                <c:pt idx="7">
                  <c:v>-3372</c:v>
                </c:pt>
                <c:pt idx="8">
                  <c:v>-1513</c:v>
                </c:pt>
                <c:pt idx="9">
                  <c:v>-814</c:v>
                </c:pt>
                <c:pt idx="10">
                  <c:v>-618</c:v>
                </c:pt>
                <c:pt idx="11">
                  <c:v>0</c:v>
                </c:pt>
                <c:pt idx="12">
                  <c:v>161</c:v>
                </c:pt>
                <c:pt idx="13">
                  <c:v>1663.5</c:v>
                </c:pt>
                <c:pt idx="14">
                  <c:v>5250</c:v>
                </c:pt>
                <c:pt idx="15">
                  <c:v>5257</c:v>
                </c:pt>
                <c:pt idx="16">
                  <c:v>6211.5</c:v>
                </c:pt>
                <c:pt idx="17">
                  <c:v>6281.5</c:v>
                </c:pt>
                <c:pt idx="18">
                  <c:v>6998</c:v>
                </c:pt>
                <c:pt idx="19">
                  <c:v>7175</c:v>
                </c:pt>
                <c:pt idx="20">
                  <c:v>8004</c:v>
                </c:pt>
                <c:pt idx="21">
                  <c:v>11347.5</c:v>
                </c:pt>
                <c:pt idx="22">
                  <c:v>11348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B3-4391-B140-94085A0E8D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-5847.5</c:v>
                </c:pt>
                <c:pt idx="1">
                  <c:v>-5835.5</c:v>
                </c:pt>
                <c:pt idx="2">
                  <c:v>-5824</c:v>
                </c:pt>
                <c:pt idx="3">
                  <c:v>-5821.5</c:v>
                </c:pt>
                <c:pt idx="4">
                  <c:v>-5722</c:v>
                </c:pt>
                <c:pt idx="5">
                  <c:v>-5696</c:v>
                </c:pt>
                <c:pt idx="6">
                  <c:v>-5677</c:v>
                </c:pt>
                <c:pt idx="7">
                  <c:v>-3372</c:v>
                </c:pt>
                <c:pt idx="8">
                  <c:v>-1513</c:v>
                </c:pt>
                <c:pt idx="9">
                  <c:v>-814</c:v>
                </c:pt>
                <c:pt idx="10">
                  <c:v>-618</c:v>
                </c:pt>
                <c:pt idx="11">
                  <c:v>0</c:v>
                </c:pt>
                <c:pt idx="12">
                  <c:v>161</c:v>
                </c:pt>
                <c:pt idx="13">
                  <c:v>1663.5</c:v>
                </c:pt>
                <c:pt idx="14">
                  <c:v>5250</c:v>
                </c:pt>
                <c:pt idx="15">
                  <c:v>5257</c:v>
                </c:pt>
                <c:pt idx="16">
                  <c:v>6211.5</c:v>
                </c:pt>
                <c:pt idx="17">
                  <c:v>6281.5</c:v>
                </c:pt>
                <c:pt idx="18">
                  <c:v>6998</c:v>
                </c:pt>
                <c:pt idx="19">
                  <c:v>7175</c:v>
                </c:pt>
                <c:pt idx="20">
                  <c:v>8004</c:v>
                </c:pt>
                <c:pt idx="21">
                  <c:v>11347.5</c:v>
                </c:pt>
                <c:pt idx="22">
                  <c:v>11348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B3-4391-B140-94085A0E8D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7">
                    <c:v>0</c:v>
                  </c:pt>
                  <c:pt idx="8">
                    <c:v>0</c:v>
                  </c:pt>
                  <c:pt idx="9">
                    <c:v>5.5999999999999999E-3</c:v>
                  </c:pt>
                  <c:pt idx="10">
                    <c:v>0</c:v>
                  </c:pt>
                  <c:pt idx="12">
                    <c:v>5.9999999999999995E-4</c:v>
                  </c:pt>
                  <c:pt idx="13">
                    <c:v>7.0000000000000001E-3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2.9999999999999997E-4</c:v>
                  </c:pt>
                  <c:pt idx="17">
                    <c:v>1.5E-3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5.9999999999999995E-4</c:v>
                  </c:pt>
                  <c:pt idx="21">
                    <c:v>1.1999999999999999E-3</c:v>
                  </c:pt>
                  <c:pt idx="2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-5847.5</c:v>
                </c:pt>
                <c:pt idx="1">
                  <c:v>-5835.5</c:v>
                </c:pt>
                <c:pt idx="2">
                  <c:v>-5824</c:v>
                </c:pt>
                <c:pt idx="3">
                  <c:v>-5821.5</c:v>
                </c:pt>
                <c:pt idx="4">
                  <c:v>-5722</c:v>
                </c:pt>
                <c:pt idx="5">
                  <c:v>-5696</c:v>
                </c:pt>
                <c:pt idx="6">
                  <c:v>-5677</c:v>
                </c:pt>
                <c:pt idx="7">
                  <c:v>-3372</c:v>
                </c:pt>
                <c:pt idx="8">
                  <c:v>-1513</c:v>
                </c:pt>
                <c:pt idx="9">
                  <c:v>-814</c:v>
                </c:pt>
                <c:pt idx="10">
                  <c:v>-618</c:v>
                </c:pt>
                <c:pt idx="11">
                  <c:v>0</c:v>
                </c:pt>
                <c:pt idx="12">
                  <c:v>161</c:v>
                </c:pt>
                <c:pt idx="13">
                  <c:v>1663.5</c:v>
                </c:pt>
                <c:pt idx="14">
                  <c:v>5250</c:v>
                </c:pt>
                <c:pt idx="15">
                  <c:v>5257</c:v>
                </c:pt>
                <c:pt idx="16">
                  <c:v>6211.5</c:v>
                </c:pt>
                <c:pt idx="17">
                  <c:v>6281.5</c:v>
                </c:pt>
                <c:pt idx="18">
                  <c:v>6998</c:v>
                </c:pt>
                <c:pt idx="19">
                  <c:v>7175</c:v>
                </c:pt>
                <c:pt idx="20">
                  <c:v>8004</c:v>
                </c:pt>
                <c:pt idx="21">
                  <c:v>11347.5</c:v>
                </c:pt>
                <c:pt idx="22">
                  <c:v>11348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B3-4391-B140-94085A0E8D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-5847.5</c:v>
                </c:pt>
                <c:pt idx="1">
                  <c:v>-5835.5</c:v>
                </c:pt>
                <c:pt idx="2">
                  <c:v>-5824</c:v>
                </c:pt>
                <c:pt idx="3">
                  <c:v>-5821.5</c:v>
                </c:pt>
                <c:pt idx="4">
                  <c:v>-5722</c:v>
                </c:pt>
                <c:pt idx="5">
                  <c:v>-5696</c:v>
                </c:pt>
                <c:pt idx="6">
                  <c:v>-5677</c:v>
                </c:pt>
                <c:pt idx="7">
                  <c:v>-3372</c:v>
                </c:pt>
                <c:pt idx="8">
                  <c:v>-1513</c:v>
                </c:pt>
                <c:pt idx="9">
                  <c:v>-814</c:v>
                </c:pt>
                <c:pt idx="10">
                  <c:v>-618</c:v>
                </c:pt>
                <c:pt idx="11">
                  <c:v>0</c:v>
                </c:pt>
                <c:pt idx="12">
                  <c:v>161</c:v>
                </c:pt>
                <c:pt idx="13">
                  <c:v>1663.5</c:v>
                </c:pt>
                <c:pt idx="14">
                  <c:v>5250</c:v>
                </c:pt>
                <c:pt idx="15">
                  <c:v>5257</c:v>
                </c:pt>
                <c:pt idx="16">
                  <c:v>6211.5</c:v>
                </c:pt>
                <c:pt idx="17">
                  <c:v>6281.5</c:v>
                </c:pt>
                <c:pt idx="18">
                  <c:v>6998</c:v>
                </c:pt>
                <c:pt idx="19">
                  <c:v>7175</c:v>
                </c:pt>
                <c:pt idx="20">
                  <c:v>8004</c:v>
                </c:pt>
                <c:pt idx="21">
                  <c:v>11347.5</c:v>
                </c:pt>
                <c:pt idx="22">
                  <c:v>11348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6.743399173396758E-2</c:v>
                </c:pt>
                <c:pt idx="1">
                  <c:v>6.7443669850929908E-2</c:v>
                </c:pt>
                <c:pt idx="2">
                  <c:v>6.7452944713018811E-2</c:v>
                </c:pt>
                <c:pt idx="3">
                  <c:v>6.7454960987385973E-2</c:v>
                </c:pt>
                <c:pt idx="4">
                  <c:v>6.753520870719866E-2</c:v>
                </c:pt>
                <c:pt idx="5">
                  <c:v>6.7556177960617053E-2</c:v>
                </c:pt>
                <c:pt idx="6">
                  <c:v>6.7571501645807414E-2</c:v>
                </c:pt>
                <c:pt idx="7">
                  <c:v>6.9430506612322598E-2</c:v>
                </c:pt>
                <c:pt idx="8">
                  <c:v>7.0929808231737668E-2</c:v>
                </c:pt>
                <c:pt idx="9">
                  <c:v>7.1493558544793681E-2</c:v>
                </c:pt>
                <c:pt idx="10">
                  <c:v>7.1651634455178498E-2</c:v>
                </c:pt>
                <c:pt idx="11">
                  <c:v>7.2150057478738747E-2</c:v>
                </c:pt>
                <c:pt idx="12">
                  <c:v>7.2279905547983414E-2</c:v>
                </c:pt>
                <c:pt idx="13">
                  <c:v>7.3491686442642437E-2</c:v>
                </c:pt>
                <c:pt idx="14">
                  <c:v>7.6384233649760325E-2</c:v>
                </c:pt>
                <c:pt idx="15">
                  <c:v>7.6389879217988343E-2</c:v>
                </c:pt>
                <c:pt idx="16">
                  <c:v>7.7159692771367416E-2</c:v>
                </c:pt>
                <c:pt idx="17">
                  <c:v>7.7216148453647701E-2</c:v>
                </c:pt>
                <c:pt idx="18">
                  <c:v>7.7794012687273789E-2</c:v>
                </c:pt>
                <c:pt idx="19">
                  <c:v>7.7936764912468232E-2</c:v>
                </c:pt>
                <c:pt idx="20">
                  <c:v>7.860536149261621E-2</c:v>
                </c:pt>
                <c:pt idx="21">
                  <c:v>8.1301926831246804E-2</c:v>
                </c:pt>
                <c:pt idx="22">
                  <c:v>8.1302330086120228E-2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B3-4391-B140-94085A0E8DA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-5847.5</c:v>
                </c:pt>
                <c:pt idx="1">
                  <c:v>-5835.5</c:v>
                </c:pt>
                <c:pt idx="2">
                  <c:v>-5824</c:v>
                </c:pt>
                <c:pt idx="3">
                  <c:v>-5821.5</c:v>
                </c:pt>
                <c:pt idx="4">
                  <c:v>-5722</c:v>
                </c:pt>
                <c:pt idx="5">
                  <c:v>-5696</c:v>
                </c:pt>
                <c:pt idx="6">
                  <c:v>-5677</c:v>
                </c:pt>
                <c:pt idx="7">
                  <c:v>-3372</c:v>
                </c:pt>
                <c:pt idx="8">
                  <c:v>-1513</c:v>
                </c:pt>
                <c:pt idx="9">
                  <c:v>-814</c:v>
                </c:pt>
                <c:pt idx="10">
                  <c:v>-618</c:v>
                </c:pt>
                <c:pt idx="11">
                  <c:v>0</c:v>
                </c:pt>
                <c:pt idx="12">
                  <c:v>161</c:v>
                </c:pt>
                <c:pt idx="13">
                  <c:v>1663.5</c:v>
                </c:pt>
                <c:pt idx="14">
                  <c:v>5250</c:v>
                </c:pt>
                <c:pt idx="15">
                  <c:v>5257</c:v>
                </c:pt>
                <c:pt idx="16">
                  <c:v>6211.5</c:v>
                </c:pt>
                <c:pt idx="17">
                  <c:v>6281.5</c:v>
                </c:pt>
                <c:pt idx="18">
                  <c:v>6998</c:v>
                </c:pt>
                <c:pt idx="19">
                  <c:v>7175</c:v>
                </c:pt>
                <c:pt idx="20">
                  <c:v>8004</c:v>
                </c:pt>
                <c:pt idx="21">
                  <c:v>11347.5</c:v>
                </c:pt>
                <c:pt idx="22">
                  <c:v>11348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2">
                  <c:v>4.7319999997853301E-2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B3-4391-B140-94085A0E8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098704"/>
        <c:axId val="1"/>
      </c:scatterChart>
      <c:valAx>
        <c:axId val="100809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098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24411144891216"/>
          <c:y val="0.92024539877300615"/>
          <c:w val="0.777060452257684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GQ Cnc - O-C Diagr.</a:t>
            </a:r>
          </a:p>
        </c:rich>
      </c:tx>
      <c:layout>
        <c:manualLayout>
          <c:xMode val="edge"/>
          <c:yMode val="edge"/>
          <c:x val="0.3747984006038017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109861001442757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-814</c:v>
                </c:pt>
                <c:pt idx="1">
                  <c:v>0</c:v>
                </c:pt>
                <c:pt idx="2">
                  <c:v>161</c:v>
                </c:pt>
                <c:pt idx="3">
                  <c:v>-5847.5</c:v>
                </c:pt>
                <c:pt idx="4">
                  <c:v>-5835.5</c:v>
                </c:pt>
                <c:pt idx="5">
                  <c:v>-5824</c:v>
                </c:pt>
                <c:pt idx="6">
                  <c:v>-5821.5</c:v>
                </c:pt>
                <c:pt idx="7">
                  <c:v>-5722</c:v>
                </c:pt>
                <c:pt idx="8">
                  <c:v>-5696</c:v>
                </c:pt>
                <c:pt idx="9">
                  <c:v>-5677</c:v>
                </c:pt>
              </c:numCache>
            </c:numRef>
          </c:xVal>
          <c:yVal>
            <c:numRef>
              <c:f>'A (old)'!$H$21:$H$996</c:f>
              <c:numCache>
                <c:formatCode>General</c:formatCode>
                <c:ptCount val="976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21-48BB-8704-647A64EDF84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-814</c:v>
                </c:pt>
                <c:pt idx="1">
                  <c:v>0</c:v>
                </c:pt>
                <c:pt idx="2">
                  <c:v>161</c:v>
                </c:pt>
                <c:pt idx="3">
                  <c:v>-5847.5</c:v>
                </c:pt>
                <c:pt idx="4">
                  <c:v>-5835.5</c:v>
                </c:pt>
                <c:pt idx="5">
                  <c:v>-5824</c:v>
                </c:pt>
                <c:pt idx="6">
                  <c:v>-5821.5</c:v>
                </c:pt>
                <c:pt idx="7">
                  <c:v>-5722</c:v>
                </c:pt>
                <c:pt idx="8">
                  <c:v>-5696</c:v>
                </c:pt>
                <c:pt idx="9">
                  <c:v>-5677</c:v>
                </c:pt>
              </c:numCache>
            </c:numRef>
          </c:xVal>
          <c:yVal>
            <c:numRef>
              <c:f>'A (old)'!$I$21:$I$996</c:f>
              <c:numCache>
                <c:formatCode>General</c:formatCode>
                <c:ptCount val="976"/>
                <c:pt idx="0">
                  <c:v>7.8340000000025611E-2</c:v>
                </c:pt>
                <c:pt idx="2">
                  <c:v>7.4689999994006939E-2</c:v>
                </c:pt>
                <c:pt idx="3">
                  <c:v>4.0000000000000002E-4</c:v>
                </c:pt>
                <c:pt idx="4">
                  <c:v>0</c:v>
                </c:pt>
                <c:pt idx="5">
                  <c:v>-1.1000000000000001E-3</c:v>
                </c:pt>
                <c:pt idx="6">
                  <c:v>2.0000000000000001E-4</c:v>
                </c:pt>
                <c:pt idx="7">
                  <c:v>1.6000000000000001E-3</c:v>
                </c:pt>
                <c:pt idx="8">
                  <c:v>-1E-4</c:v>
                </c:pt>
                <c:pt idx="9">
                  <c:v>-8.9999999999999998E-4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21-48BB-8704-647A64EDF84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-814</c:v>
                </c:pt>
                <c:pt idx="1">
                  <c:v>0</c:v>
                </c:pt>
                <c:pt idx="2">
                  <c:v>161</c:v>
                </c:pt>
                <c:pt idx="3">
                  <c:v>-5847.5</c:v>
                </c:pt>
                <c:pt idx="4">
                  <c:v>-5835.5</c:v>
                </c:pt>
                <c:pt idx="5">
                  <c:v>-5824</c:v>
                </c:pt>
                <c:pt idx="6">
                  <c:v>-5821.5</c:v>
                </c:pt>
                <c:pt idx="7">
                  <c:v>-5722</c:v>
                </c:pt>
                <c:pt idx="8">
                  <c:v>-5696</c:v>
                </c:pt>
                <c:pt idx="9">
                  <c:v>-5677</c:v>
                </c:pt>
              </c:numCache>
            </c:numRef>
          </c:xVal>
          <c:yVal>
            <c:numRef>
              <c:f>'A (old)'!$J$21:$J$996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21-48BB-8704-647A64EDF84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-814</c:v>
                </c:pt>
                <c:pt idx="1">
                  <c:v>0</c:v>
                </c:pt>
                <c:pt idx="2">
                  <c:v>161</c:v>
                </c:pt>
                <c:pt idx="3">
                  <c:v>-5847.5</c:v>
                </c:pt>
                <c:pt idx="4">
                  <c:v>-5835.5</c:v>
                </c:pt>
                <c:pt idx="5">
                  <c:v>-5824</c:v>
                </c:pt>
                <c:pt idx="6">
                  <c:v>-5821.5</c:v>
                </c:pt>
                <c:pt idx="7">
                  <c:v>-5722</c:v>
                </c:pt>
                <c:pt idx="8">
                  <c:v>-5696</c:v>
                </c:pt>
                <c:pt idx="9">
                  <c:v>-5677</c:v>
                </c:pt>
              </c:numCache>
            </c:numRef>
          </c:xVal>
          <c:yVal>
            <c:numRef>
              <c:f>'A (old)'!$K$21:$K$996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21-48BB-8704-647A64EDF84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-814</c:v>
                </c:pt>
                <c:pt idx="1">
                  <c:v>0</c:v>
                </c:pt>
                <c:pt idx="2">
                  <c:v>161</c:v>
                </c:pt>
                <c:pt idx="3">
                  <c:v>-5847.5</c:v>
                </c:pt>
                <c:pt idx="4">
                  <c:v>-5835.5</c:v>
                </c:pt>
                <c:pt idx="5">
                  <c:v>-5824</c:v>
                </c:pt>
                <c:pt idx="6">
                  <c:v>-5821.5</c:v>
                </c:pt>
                <c:pt idx="7">
                  <c:v>-5722</c:v>
                </c:pt>
                <c:pt idx="8">
                  <c:v>-5696</c:v>
                </c:pt>
                <c:pt idx="9">
                  <c:v>-5677</c:v>
                </c:pt>
              </c:numCache>
            </c:numRef>
          </c:xVal>
          <c:yVal>
            <c:numRef>
              <c:f>'A (old)'!$L$21:$L$996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21-48BB-8704-647A64EDF84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-814</c:v>
                </c:pt>
                <c:pt idx="1">
                  <c:v>0</c:v>
                </c:pt>
                <c:pt idx="2">
                  <c:v>161</c:v>
                </c:pt>
                <c:pt idx="3">
                  <c:v>-5847.5</c:v>
                </c:pt>
                <c:pt idx="4">
                  <c:v>-5835.5</c:v>
                </c:pt>
                <c:pt idx="5">
                  <c:v>-5824</c:v>
                </c:pt>
                <c:pt idx="6">
                  <c:v>-5821.5</c:v>
                </c:pt>
                <c:pt idx="7">
                  <c:v>-5722</c:v>
                </c:pt>
                <c:pt idx="8">
                  <c:v>-5696</c:v>
                </c:pt>
                <c:pt idx="9">
                  <c:v>-5677</c:v>
                </c:pt>
              </c:numCache>
            </c:numRef>
          </c:xVal>
          <c:yVal>
            <c:numRef>
              <c:f>'A (old)'!$M$21:$M$996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21-48BB-8704-647A64EDF84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'A (old)'!$D$21:$D$996</c:f>
                <c:numCache>
                  <c:formatCode>General</c:formatCode>
                  <c:ptCount val="976"/>
                  <c:pt idx="0">
                    <c:v>5.5999999999999999E-3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(old)'!$F$21:$F$996</c:f>
              <c:numCache>
                <c:formatCode>General</c:formatCode>
                <c:ptCount val="976"/>
                <c:pt idx="0">
                  <c:v>-814</c:v>
                </c:pt>
                <c:pt idx="1">
                  <c:v>0</c:v>
                </c:pt>
                <c:pt idx="2">
                  <c:v>161</c:v>
                </c:pt>
                <c:pt idx="3">
                  <c:v>-5847.5</c:v>
                </c:pt>
                <c:pt idx="4">
                  <c:v>-5835.5</c:v>
                </c:pt>
                <c:pt idx="5">
                  <c:v>-5824</c:v>
                </c:pt>
                <c:pt idx="6">
                  <c:v>-5821.5</c:v>
                </c:pt>
                <c:pt idx="7">
                  <c:v>-5722</c:v>
                </c:pt>
                <c:pt idx="8">
                  <c:v>-5696</c:v>
                </c:pt>
                <c:pt idx="9">
                  <c:v>-5677</c:v>
                </c:pt>
              </c:numCache>
            </c:numRef>
          </c:xVal>
          <c:yVal>
            <c:numRef>
              <c:f>'A (old)'!$N$21:$N$996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21-48BB-8704-647A64EDF84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(old)'!$F$21:$F$996</c:f>
              <c:numCache>
                <c:formatCode>General</c:formatCode>
                <c:ptCount val="976"/>
                <c:pt idx="0">
                  <c:v>-814</c:v>
                </c:pt>
                <c:pt idx="1">
                  <c:v>0</c:v>
                </c:pt>
                <c:pt idx="2">
                  <c:v>161</c:v>
                </c:pt>
                <c:pt idx="3">
                  <c:v>-5847.5</c:v>
                </c:pt>
                <c:pt idx="4">
                  <c:v>-5835.5</c:v>
                </c:pt>
                <c:pt idx="5">
                  <c:v>-5824</c:v>
                </c:pt>
                <c:pt idx="6">
                  <c:v>-5821.5</c:v>
                </c:pt>
                <c:pt idx="7">
                  <c:v>-5722</c:v>
                </c:pt>
                <c:pt idx="8">
                  <c:v>-5696</c:v>
                </c:pt>
                <c:pt idx="9">
                  <c:v>-5677</c:v>
                </c:pt>
              </c:numCache>
            </c:numRef>
          </c:xVal>
          <c:yVal>
            <c:numRef>
              <c:f>'A (old)'!$O$21:$O$996</c:f>
              <c:numCache>
                <c:formatCode>General</c:formatCode>
                <c:ptCount val="976"/>
                <c:pt idx="0">
                  <c:v>6.8954921396295665E-2</c:v>
                </c:pt>
                <c:pt idx="1">
                  <c:v>8.0229300565615225E-2</c:v>
                </c:pt>
                <c:pt idx="2">
                  <c:v>8.2459245339890963E-2</c:v>
                </c:pt>
                <c:pt idx="3">
                  <c:v>-7.6201662430624983E-4</c:v>
                </c:pt>
                <c:pt idx="4">
                  <c:v>-5.9580956038508825E-4</c:v>
                </c:pt>
                <c:pt idx="5">
                  <c:v>-4.3652779079396409E-4</c:v>
                </c:pt>
                <c:pt idx="6">
                  <c:v>-4.0190131914370764E-4</c:v>
                </c:pt>
                <c:pt idx="7">
                  <c:v>9.7623225253601342E-4</c:v>
                </c:pt>
                <c:pt idx="8">
                  <c:v>1.3363475576985556E-3</c:v>
                </c:pt>
                <c:pt idx="9">
                  <c:v>1.5995087422404075E-3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21-48BB-8704-647A64EDF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02304"/>
        <c:axId val="1"/>
      </c:scatterChart>
      <c:valAx>
        <c:axId val="100810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02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001632469608503"/>
          <c:y val="0.92024539877300615"/>
          <c:w val="0.91922523416398472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GQ Cnc - O-C Diagr.</a:t>
            </a:r>
          </a:p>
        </c:rich>
      </c:tx>
      <c:layout>
        <c:manualLayout>
          <c:xMode val="edge"/>
          <c:yMode val="edge"/>
          <c:x val="0.3747984006038017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109861001442757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B!$F$21:$F$996</c:f>
              <c:numCache>
                <c:formatCode>General</c:formatCode>
                <c:ptCount val="976"/>
                <c:pt idx="0">
                  <c:v>-5845</c:v>
                </c:pt>
                <c:pt idx="1">
                  <c:v>-5833</c:v>
                </c:pt>
                <c:pt idx="2">
                  <c:v>-5821.5</c:v>
                </c:pt>
                <c:pt idx="3">
                  <c:v>-5819</c:v>
                </c:pt>
                <c:pt idx="4">
                  <c:v>-5719.5</c:v>
                </c:pt>
                <c:pt idx="5">
                  <c:v>-5693.5</c:v>
                </c:pt>
                <c:pt idx="6">
                  <c:v>-5674.5</c:v>
                </c:pt>
                <c:pt idx="7">
                  <c:v>-813.5</c:v>
                </c:pt>
                <c:pt idx="8">
                  <c:v>0</c:v>
                </c:pt>
                <c:pt idx="9">
                  <c:v>161</c:v>
                </c:pt>
                <c:pt idx="10">
                  <c:v>5248</c:v>
                </c:pt>
                <c:pt idx="11">
                  <c:v>5255</c:v>
                </c:pt>
                <c:pt idx="12">
                  <c:v>6209</c:v>
                </c:pt>
              </c:numCache>
            </c:numRef>
          </c:xVal>
          <c:yVal>
            <c:numRef>
              <c:f>B!$H$21:$H$996</c:f>
              <c:numCache>
                <c:formatCode>General</c:formatCode>
                <c:ptCount val="976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0B-4433-830A-D18877ED7F5C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B!$F$21:$F$996</c:f>
              <c:numCache>
                <c:formatCode>General</c:formatCode>
                <c:ptCount val="976"/>
                <c:pt idx="0">
                  <c:v>-5845</c:v>
                </c:pt>
                <c:pt idx="1">
                  <c:v>-5833</c:v>
                </c:pt>
                <c:pt idx="2">
                  <c:v>-5821.5</c:v>
                </c:pt>
                <c:pt idx="3">
                  <c:v>-5819</c:v>
                </c:pt>
                <c:pt idx="4">
                  <c:v>-5719.5</c:v>
                </c:pt>
                <c:pt idx="5">
                  <c:v>-5693.5</c:v>
                </c:pt>
                <c:pt idx="6">
                  <c:v>-5674.5</c:v>
                </c:pt>
                <c:pt idx="7">
                  <c:v>-813.5</c:v>
                </c:pt>
                <c:pt idx="8">
                  <c:v>0</c:v>
                </c:pt>
                <c:pt idx="9">
                  <c:v>161</c:v>
                </c:pt>
                <c:pt idx="10">
                  <c:v>5248</c:v>
                </c:pt>
                <c:pt idx="11">
                  <c:v>5255</c:v>
                </c:pt>
                <c:pt idx="12">
                  <c:v>6209</c:v>
                </c:pt>
              </c:numCache>
            </c:numRef>
          </c:xVal>
          <c:yVal>
            <c:numRef>
              <c:f>B!$I$21:$I$996</c:f>
              <c:numCache>
                <c:formatCode>General</c:formatCode>
                <c:ptCount val="976"/>
                <c:pt idx="0">
                  <c:v>4.0000000000000002E-4</c:v>
                </c:pt>
                <c:pt idx="1">
                  <c:v>0</c:v>
                </c:pt>
                <c:pt idx="2">
                  <c:v>-1.1000000000000001E-3</c:v>
                </c:pt>
                <c:pt idx="3">
                  <c:v>2.0000000000000001E-4</c:v>
                </c:pt>
                <c:pt idx="4">
                  <c:v>1.6000000000000001E-3</c:v>
                </c:pt>
                <c:pt idx="5">
                  <c:v>-1E-4</c:v>
                </c:pt>
                <c:pt idx="6">
                  <c:v>-8.9999999999999998E-4</c:v>
                </c:pt>
                <c:pt idx="7">
                  <c:v>5.5300000021816231E-3</c:v>
                </c:pt>
                <c:pt idx="9">
                  <c:v>4.7319999997853301E-2</c:v>
                </c:pt>
                <c:pt idx="10">
                  <c:v>1.345999999466585E-2</c:v>
                </c:pt>
                <c:pt idx="11">
                  <c:v>1.6700000000128057E-2</c:v>
                </c:pt>
                <c:pt idx="12">
                  <c:v>6.5780000004451722E-2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0B-4433-830A-D18877ED7F5C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B!$F$21:$F$996</c:f>
              <c:numCache>
                <c:formatCode>General</c:formatCode>
                <c:ptCount val="976"/>
                <c:pt idx="0">
                  <c:v>-5845</c:v>
                </c:pt>
                <c:pt idx="1">
                  <c:v>-5833</c:v>
                </c:pt>
                <c:pt idx="2">
                  <c:v>-5821.5</c:v>
                </c:pt>
                <c:pt idx="3">
                  <c:v>-5819</c:v>
                </c:pt>
                <c:pt idx="4">
                  <c:v>-5719.5</c:v>
                </c:pt>
                <c:pt idx="5">
                  <c:v>-5693.5</c:v>
                </c:pt>
                <c:pt idx="6">
                  <c:v>-5674.5</c:v>
                </c:pt>
                <c:pt idx="7">
                  <c:v>-813.5</c:v>
                </c:pt>
                <c:pt idx="8">
                  <c:v>0</c:v>
                </c:pt>
                <c:pt idx="9">
                  <c:v>161</c:v>
                </c:pt>
                <c:pt idx="10">
                  <c:v>5248</c:v>
                </c:pt>
                <c:pt idx="11">
                  <c:v>5255</c:v>
                </c:pt>
                <c:pt idx="12">
                  <c:v>6209</c:v>
                </c:pt>
              </c:numCache>
            </c:numRef>
          </c:xVal>
          <c:yVal>
            <c:numRef>
              <c:f>B!$J$21:$J$996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0B-4433-830A-D18877ED7F5C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B!$F$21:$F$996</c:f>
              <c:numCache>
                <c:formatCode>General</c:formatCode>
                <c:ptCount val="976"/>
                <c:pt idx="0">
                  <c:v>-5845</c:v>
                </c:pt>
                <c:pt idx="1">
                  <c:v>-5833</c:v>
                </c:pt>
                <c:pt idx="2">
                  <c:v>-5821.5</c:v>
                </c:pt>
                <c:pt idx="3">
                  <c:v>-5819</c:v>
                </c:pt>
                <c:pt idx="4">
                  <c:v>-5719.5</c:v>
                </c:pt>
                <c:pt idx="5">
                  <c:v>-5693.5</c:v>
                </c:pt>
                <c:pt idx="6">
                  <c:v>-5674.5</c:v>
                </c:pt>
                <c:pt idx="7">
                  <c:v>-813.5</c:v>
                </c:pt>
                <c:pt idx="8">
                  <c:v>0</c:v>
                </c:pt>
                <c:pt idx="9">
                  <c:v>161</c:v>
                </c:pt>
                <c:pt idx="10">
                  <c:v>5248</c:v>
                </c:pt>
                <c:pt idx="11">
                  <c:v>5255</c:v>
                </c:pt>
                <c:pt idx="12">
                  <c:v>6209</c:v>
                </c:pt>
              </c:numCache>
            </c:numRef>
          </c:xVal>
          <c:yVal>
            <c:numRef>
              <c:f>B!$K$21:$K$996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0B-4433-830A-D18877ED7F5C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B!$F$21:$F$996</c:f>
              <c:numCache>
                <c:formatCode>General</c:formatCode>
                <c:ptCount val="976"/>
                <c:pt idx="0">
                  <c:v>-5845</c:v>
                </c:pt>
                <c:pt idx="1">
                  <c:v>-5833</c:v>
                </c:pt>
                <c:pt idx="2">
                  <c:v>-5821.5</c:v>
                </c:pt>
                <c:pt idx="3">
                  <c:v>-5819</c:v>
                </c:pt>
                <c:pt idx="4">
                  <c:v>-5719.5</c:v>
                </c:pt>
                <c:pt idx="5">
                  <c:v>-5693.5</c:v>
                </c:pt>
                <c:pt idx="6">
                  <c:v>-5674.5</c:v>
                </c:pt>
                <c:pt idx="7">
                  <c:v>-813.5</c:v>
                </c:pt>
                <c:pt idx="8">
                  <c:v>0</c:v>
                </c:pt>
                <c:pt idx="9">
                  <c:v>161</c:v>
                </c:pt>
                <c:pt idx="10">
                  <c:v>5248</c:v>
                </c:pt>
                <c:pt idx="11">
                  <c:v>5255</c:v>
                </c:pt>
                <c:pt idx="12">
                  <c:v>6209</c:v>
                </c:pt>
              </c:numCache>
            </c:numRef>
          </c:xVal>
          <c:yVal>
            <c:numRef>
              <c:f>B!$L$21:$L$996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0B-4433-830A-D18877ED7F5C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B!$F$21:$F$996</c:f>
              <c:numCache>
                <c:formatCode>General</c:formatCode>
                <c:ptCount val="976"/>
                <c:pt idx="0">
                  <c:v>-5845</c:v>
                </c:pt>
                <c:pt idx="1">
                  <c:v>-5833</c:v>
                </c:pt>
                <c:pt idx="2">
                  <c:v>-5821.5</c:v>
                </c:pt>
                <c:pt idx="3">
                  <c:v>-5819</c:v>
                </c:pt>
                <c:pt idx="4">
                  <c:v>-5719.5</c:v>
                </c:pt>
                <c:pt idx="5">
                  <c:v>-5693.5</c:v>
                </c:pt>
                <c:pt idx="6">
                  <c:v>-5674.5</c:v>
                </c:pt>
                <c:pt idx="7">
                  <c:v>-813.5</c:v>
                </c:pt>
                <c:pt idx="8">
                  <c:v>0</c:v>
                </c:pt>
                <c:pt idx="9">
                  <c:v>161</c:v>
                </c:pt>
                <c:pt idx="10">
                  <c:v>5248</c:v>
                </c:pt>
                <c:pt idx="11">
                  <c:v>5255</c:v>
                </c:pt>
                <c:pt idx="12">
                  <c:v>6209</c:v>
                </c:pt>
              </c:numCache>
            </c:numRef>
          </c:xVal>
          <c:yVal>
            <c:numRef>
              <c:f>B!$M$21:$M$996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0B-4433-830A-D18877ED7F5C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B!$D$21:$D$996</c:f>
                <c:numCache>
                  <c:formatCode>General</c:formatCode>
                  <c:ptCount val="976"/>
                  <c:pt idx="7">
                    <c:v>5.5999999999999999E-3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5.0000000000000001E-4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B!$F$21:$F$996</c:f>
              <c:numCache>
                <c:formatCode>General</c:formatCode>
                <c:ptCount val="976"/>
                <c:pt idx="0">
                  <c:v>-5845</c:v>
                </c:pt>
                <c:pt idx="1">
                  <c:v>-5833</c:v>
                </c:pt>
                <c:pt idx="2">
                  <c:v>-5821.5</c:v>
                </c:pt>
                <c:pt idx="3">
                  <c:v>-5819</c:v>
                </c:pt>
                <c:pt idx="4">
                  <c:v>-5719.5</c:v>
                </c:pt>
                <c:pt idx="5">
                  <c:v>-5693.5</c:v>
                </c:pt>
                <c:pt idx="6">
                  <c:v>-5674.5</c:v>
                </c:pt>
                <c:pt idx="7">
                  <c:v>-813.5</c:v>
                </c:pt>
                <c:pt idx="8">
                  <c:v>0</c:v>
                </c:pt>
                <c:pt idx="9">
                  <c:v>161</c:v>
                </c:pt>
                <c:pt idx="10">
                  <c:v>5248</c:v>
                </c:pt>
                <c:pt idx="11">
                  <c:v>5255</c:v>
                </c:pt>
                <c:pt idx="12">
                  <c:v>6209</c:v>
                </c:pt>
              </c:numCache>
            </c:numRef>
          </c:xVal>
          <c:yVal>
            <c:numRef>
              <c:f>B!$N$21:$N$996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0B-4433-830A-D18877ED7F5C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B!$F$21:$F$996</c:f>
              <c:numCache>
                <c:formatCode>General</c:formatCode>
                <c:ptCount val="976"/>
                <c:pt idx="0">
                  <c:v>-5845</c:v>
                </c:pt>
                <c:pt idx="1">
                  <c:v>-5833</c:v>
                </c:pt>
                <c:pt idx="2">
                  <c:v>-5821.5</c:v>
                </c:pt>
                <c:pt idx="3">
                  <c:v>-5819</c:v>
                </c:pt>
                <c:pt idx="4">
                  <c:v>-5719.5</c:v>
                </c:pt>
                <c:pt idx="5">
                  <c:v>-5693.5</c:v>
                </c:pt>
                <c:pt idx="6">
                  <c:v>-5674.5</c:v>
                </c:pt>
                <c:pt idx="7">
                  <c:v>-813.5</c:v>
                </c:pt>
                <c:pt idx="8">
                  <c:v>0</c:v>
                </c:pt>
                <c:pt idx="9">
                  <c:v>161</c:v>
                </c:pt>
                <c:pt idx="10">
                  <c:v>5248</c:v>
                </c:pt>
                <c:pt idx="11">
                  <c:v>5255</c:v>
                </c:pt>
                <c:pt idx="12">
                  <c:v>6209</c:v>
                </c:pt>
              </c:numCache>
            </c:numRef>
          </c:xVal>
          <c:yVal>
            <c:numRef>
              <c:f>B!$O$21:$O$996</c:f>
              <c:numCache>
                <c:formatCode>General</c:formatCode>
                <c:ptCount val="976"/>
                <c:pt idx="0">
                  <c:v>-2.0731210457929361E-3</c:v>
                </c:pt>
                <c:pt idx="1">
                  <c:v>-2.0398690996884863E-3</c:v>
                </c:pt>
                <c:pt idx="2">
                  <c:v>-2.0080026513383878E-3</c:v>
                </c:pt>
                <c:pt idx="3">
                  <c:v>-2.0010751625666283E-3</c:v>
                </c:pt>
                <c:pt idx="4">
                  <c:v>-1.7253611094505648E-3</c:v>
                </c:pt>
                <c:pt idx="5">
                  <c:v>-1.653315226224257E-3</c:v>
                </c:pt>
                <c:pt idx="6">
                  <c:v>-1.6006663115588765E-3</c:v>
                </c:pt>
                <c:pt idx="7">
                  <c:v>1.1869142856252035E-2</c:v>
                </c:pt>
                <c:pt idx="8">
                  <c:v>1.4123347702582868E-2</c:v>
                </c:pt>
                <c:pt idx="9">
                  <c:v>1.4569477979484238E-2</c:v>
                </c:pt>
                <c:pt idx="10">
                  <c:v>2.8665532132262292E-2</c:v>
                </c:pt>
                <c:pt idx="11">
                  <c:v>2.8684929100823219E-2</c:v>
                </c:pt>
                <c:pt idx="12">
                  <c:v>3.1328458816126989E-2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0B-4433-830A-D18877ED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14904"/>
        <c:axId val="1"/>
      </c:scatterChart>
      <c:valAx>
        <c:axId val="1008114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14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001632469608503"/>
          <c:y val="0.92024539877300615"/>
          <c:w val="0.91922523416398472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390525</xdr:colOff>
      <xdr:row>18</xdr:row>
      <xdr:rowOff>38100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4D848850-3BCE-9BD6-EBA6-BBC984595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2898554-4109-9C5E-1135-7C656DADF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0</xdr:rowOff>
    </xdr:from>
    <xdr:to>
      <xdr:col>17</xdr:col>
      <xdr:colOff>152400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77A1C0C-558F-5F16-3127-849865A91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konkoly.hu/cgi-bin/IBVS?4393" TargetMode="External"/><Relationship Id="rId7" Type="http://schemas.openxmlformats.org/officeDocument/2006/relationships/hyperlink" Target="http://www.konkoly.hu/cgi-bin/IBVS?4393" TargetMode="External"/><Relationship Id="rId12" Type="http://schemas.openxmlformats.org/officeDocument/2006/relationships/hyperlink" Target="http://www.konkoly.hu/cgi-bin/IBVS?5945" TargetMode="External"/><Relationship Id="rId2" Type="http://schemas.openxmlformats.org/officeDocument/2006/relationships/hyperlink" Target="http://www.konkoly.hu/cgi-bin/IBVS?4393" TargetMode="External"/><Relationship Id="rId16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4393" TargetMode="External"/><Relationship Id="rId6" Type="http://schemas.openxmlformats.org/officeDocument/2006/relationships/hyperlink" Target="http://www.konkoly.hu/cgi-bin/IBVS?4393" TargetMode="External"/><Relationship Id="rId11" Type="http://schemas.openxmlformats.org/officeDocument/2006/relationships/hyperlink" Target="http://www.konkoly.hu/cgi-bin/IBVS?5894" TargetMode="External"/><Relationship Id="rId5" Type="http://schemas.openxmlformats.org/officeDocument/2006/relationships/hyperlink" Target="http://www.konkoly.hu/cgi-bin/IBVS?4393" TargetMode="External"/><Relationship Id="rId15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konkoly.hu/cgi-bin/IBVS?4393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8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25</v>
      </c>
      <c r="B2" t="s">
        <v>44</v>
      </c>
      <c r="C2" s="22" t="s">
        <v>42</v>
      </c>
      <c r="D2" s="6"/>
    </row>
    <row r="3" spans="1:6" ht="13.5" thickBot="1" x14ac:dyDescent="0.25"/>
    <row r="4" spans="1:6" ht="13.5" thickBot="1" x14ac:dyDescent="0.25">
      <c r="A4" s="19" t="s">
        <v>43</v>
      </c>
      <c r="C4" s="25">
        <v>50154.2091</v>
      </c>
      <c r="D4" s="26">
        <v>0.42227999999999999</v>
      </c>
    </row>
    <row r="5" spans="1:6" x14ac:dyDescent="0.2">
      <c r="A5" s="37" t="s">
        <v>45</v>
      </c>
      <c r="B5" s="38"/>
      <c r="C5" s="39">
        <v>-9.5</v>
      </c>
      <c r="D5" s="38" t="s">
        <v>46</v>
      </c>
    </row>
    <row r="6" spans="1:6" x14ac:dyDescent="0.2">
      <c r="A6" s="8" t="s">
        <v>1</v>
      </c>
    </row>
    <row r="7" spans="1:6" x14ac:dyDescent="0.2">
      <c r="A7" t="s">
        <v>2</v>
      </c>
      <c r="C7" s="23">
        <v>52623.22</v>
      </c>
    </row>
    <row r="8" spans="1:6" x14ac:dyDescent="0.2">
      <c r="A8" t="s">
        <v>3</v>
      </c>
      <c r="C8" s="23">
        <v>0.42220800000000003</v>
      </c>
    </row>
    <row r="9" spans="1:6" x14ac:dyDescent="0.2">
      <c r="A9" s="52" t="s">
        <v>52</v>
      </c>
      <c r="B9" s="53">
        <v>21</v>
      </c>
      <c r="C9" s="51" t="str">
        <f>"F"&amp;B9</f>
        <v>F21</v>
      </c>
      <c r="D9" s="20" t="str">
        <f>"G"&amp;B9</f>
        <v>G21</v>
      </c>
    </row>
    <row r="10" spans="1:6" ht="13.5" thickBot="1" x14ac:dyDescent="0.25">
      <c r="A10" s="38"/>
      <c r="B10" s="38"/>
      <c r="C10" s="7" t="s">
        <v>20</v>
      </c>
      <c r="D10" s="7" t="s">
        <v>21</v>
      </c>
      <c r="E10" s="38"/>
    </row>
    <row r="11" spans="1:6" x14ac:dyDescent="0.2">
      <c r="A11" s="38" t="s">
        <v>15</v>
      </c>
      <c r="B11" s="38"/>
      <c r="C11" s="50">
        <f ca="1">INTERCEPT(INDIRECT($D$9):G992,INDIRECT($C$9):F992)</f>
        <v>7.2150057478738747E-2</v>
      </c>
      <c r="D11" s="6"/>
      <c r="E11" s="38"/>
    </row>
    <row r="12" spans="1:6" x14ac:dyDescent="0.2">
      <c r="A12" s="38" t="s">
        <v>16</v>
      </c>
      <c r="B12" s="38"/>
      <c r="C12" s="50">
        <f ca="1">SLOPE(INDIRECT($D$9):G992,INDIRECT($C$9):F992)</f>
        <v>8.0650974686125211E-7</v>
      </c>
      <c r="D12" s="6"/>
      <c r="E12" s="38"/>
    </row>
    <row r="13" spans="1:6" x14ac:dyDescent="0.2">
      <c r="A13" s="38" t="s">
        <v>19</v>
      </c>
      <c r="B13" s="38"/>
      <c r="C13" s="6" t="s">
        <v>13</v>
      </c>
    </row>
    <row r="14" spans="1:6" x14ac:dyDescent="0.2">
      <c r="A14" s="38"/>
      <c r="B14" s="38"/>
      <c r="C14" s="38"/>
    </row>
    <row r="15" spans="1:6" x14ac:dyDescent="0.2">
      <c r="A15" s="40" t="s">
        <v>17</v>
      </c>
      <c r="B15" s="38"/>
      <c r="C15" s="11">
        <f ca="1">(C7+C11)+(C8+C12)*INT(MAX(F21:F3533))</f>
        <v>57414.517686330088</v>
      </c>
      <c r="E15" s="41" t="s">
        <v>54</v>
      </c>
      <c r="F15" s="39">
        <v>1</v>
      </c>
    </row>
    <row r="16" spans="1:6" x14ac:dyDescent="0.2">
      <c r="A16" s="43" t="s">
        <v>4</v>
      </c>
      <c r="B16" s="38"/>
      <c r="C16" s="12">
        <f ca="1">+C8+C12</f>
        <v>0.4222088065097469</v>
      </c>
      <c r="E16" s="41" t="s">
        <v>47</v>
      </c>
      <c r="F16" s="42">
        <f ca="1">NOW()+15018.5+$C$5/24</f>
        <v>60338.694897337962</v>
      </c>
    </row>
    <row r="17" spans="1:21" ht="13.5" thickBot="1" x14ac:dyDescent="0.25">
      <c r="A17" s="41" t="s">
        <v>31</v>
      </c>
      <c r="B17" s="38"/>
      <c r="C17" s="38">
        <f>COUNT(C21:C2191)</f>
        <v>23</v>
      </c>
      <c r="E17" s="41" t="s">
        <v>55</v>
      </c>
      <c r="F17" s="42">
        <f ca="1">ROUND(2*(F16-$C$7)/$C$8,0)/2+F15</f>
        <v>18275</v>
      </c>
    </row>
    <row r="18" spans="1:21" ht="14.25" thickTop="1" thickBot="1" x14ac:dyDescent="0.25">
      <c r="A18" s="43" t="s">
        <v>5</v>
      </c>
      <c r="B18" s="38"/>
      <c r="C18" s="45">
        <f ca="1">+C15</f>
        <v>57414.517686330088</v>
      </c>
      <c r="D18" s="46">
        <f ca="1">+C16</f>
        <v>0.4222088065097469</v>
      </c>
      <c r="E18" s="41" t="s">
        <v>48</v>
      </c>
      <c r="F18" s="20">
        <f ca="1">ROUND(2*(F16-$C$15)/$C$16,0)/2+F15</f>
        <v>6927</v>
      </c>
    </row>
    <row r="19" spans="1:21" ht="13.5" thickTop="1" x14ac:dyDescent="0.2">
      <c r="E19" s="41" t="s">
        <v>49</v>
      </c>
      <c r="F19" s="44">
        <f ca="1">+$C$15+$C$16*F18-15018.5-$C$5/24</f>
        <v>45321.053922356441</v>
      </c>
    </row>
    <row r="20" spans="1:21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67</v>
      </c>
      <c r="I20" s="10" t="s">
        <v>70</v>
      </c>
      <c r="J20" s="10" t="s">
        <v>64</v>
      </c>
      <c r="K20" s="10" t="s">
        <v>62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14</v>
      </c>
      <c r="U20" s="77" t="s">
        <v>155</v>
      </c>
    </row>
    <row r="21" spans="1:21" x14ac:dyDescent="0.2">
      <c r="A21" t="s">
        <v>41</v>
      </c>
      <c r="B21" s="6" t="s">
        <v>34</v>
      </c>
      <c r="C21" s="22">
        <v>50154.420599999998</v>
      </c>
      <c r="D21" s="6"/>
      <c r="E21">
        <f t="shared" ref="E21:E43" si="0">+(C21-C$7)/C$8</f>
        <v>-5847.3534371684182</v>
      </c>
      <c r="F21">
        <f t="shared" ref="F21:F43" si="1">ROUND(2*E21,0)/2</f>
        <v>-5847.5</v>
      </c>
      <c r="G21" s="23">
        <f t="shared" ref="G21:G31" si="2">+C21-(C$7+F21*C$8)</f>
        <v>6.1879999993834645E-2</v>
      </c>
      <c r="K21">
        <f t="shared" ref="K21:K27" si="3">+G21</f>
        <v>6.1879999993834645E-2</v>
      </c>
      <c r="O21">
        <f t="shared" ref="O21:O43" ca="1" si="4">+C$11+C$12*$F21</f>
        <v>6.743399173396758E-2</v>
      </c>
      <c r="Q21" s="2">
        <f t="shared" ref="Q21:Q43" si="5">+C21-15018.5</f>
        <v>35135.920599999998</v>
      </c>
    </row>
    <row r="22" spans="1:21" x14ac:dyDescent="0.2">
      <c r="A22" t="s">
        <v>41</v>
      </c>
      <c r="B22" s="6" t="s">
        <v>34</v>
      </c>
      <c r="C22" s="22">
        <v>50159.4876</v>
      </c>
      <c r="D22" s="6"/>
      <c r="E22">
        <f t="shared" si="0"/>
        <v>-5835.352243443991</v>
      </c>
      <c r="F22">
        <f t="shared" si="1"/>
        <v>-5835.5</v>
      </c>
      <c r="G22" s="23">
        <f t="shared" si="2"/>
        <v>6.238399999710964E-2</v>
      </c>
      <c r="K22">
        <f t="shared" si="3"/>
        <v>6.238399999710964E-2</v>
      </c>
      <c r="O22">
        <f t="shared" ca="1" si="4"/>
        <v>6.7443669850929908E-2</v>
      </c>
      <c r="Q22" s="2">
        <f t="shared" si="5"/>
        <v>35140.9876</v>
      </c>
    </row>
    <row r="23" spans="1:21" x14ac:dyDescent="0.2">
      <c r="A23" t="s">
        <v>41</v>
      </c>
      <c r="B23" s="6" t="s">
        <v>36</v>
      </c>
      <c r="C23" s="22">
        <v>50164.342600000004</v>
      </c>
      <c r="D23" s="6"/>
      <c r="E23">
        <f t="shared" si="0"/>
        <v>-5823.8531718963104</v>
      </c>
      <c r="F23">
        <f t="shared" si="1"/>
        <v>-5824</v>
      </c>
      <c r="G23" s="23">
        <f t="shared" si="2"/>
        <v>6.1992000002646819E-2</v>
      </c>
      <c r="K23">
        <f t="shared" si="3"/>
        <v>6.1992000002646819E-2</v>
      </c>
      <c r="O23">
        <f t="shared" ca="1" si="4"/>
        <v>6.7452944713018811E-2</v>
      </c>
      <c r="Q23" s="2">
        <f t="shared" si="5"/>
        <v>35145.842600000004</v>
      </c>
    </row>
    <row r="24" spans="1:21" x14ac:dyDescent="0.2">
      <c r="A24" t="s">
        <v>41</v>
      </c>
      <c r="B24" s="6" t="s">
        <v>34</v>
      </c>
      <c r="C24" s="22">
        <v>50165.399599999997</v>
      </c>
      <c r="D24" s="6"/>
      <c r="E24">
        <f t="shared" si="0"/>
        <v>-5821.3496665150924</v>
      </c>
      <c r="F24">
        <f t="shared" si="1"/>
        <v>-5821.5</v>
      </c>
      <c r="G24" s="23">
        <f t="shared" si="2"/>
        <v>6.3471999994362704E-2</v>
      </c>
      <c r="K24">
        <f t="shared" si="3"/>
        <v>6.3471999994362704E-2</v>
      </c>
      <c r="O24">
        <f t="shared" ca="1" si="4"/>
        <v>6.7454960987385973E-2</v>
      </c>
      <c r="Q24" s="2">
        <f t="shared" si="5"/>
        <v>35146.899599999997</v>
      </c>
    </row>
    <row r="25" spans="1:21" x14ac:dyDescent="0.2">
      <c r="A25" t="s">
        <v>41</v>
      </c>
      <c r="B25" s="6" t="s">
        <v>36</v>
      </c>
      <c r="C25" s="22">
        <v>50207.417399999998</v>
      </c>
      <c r="D25" s="6"/>
      <c r="E25">
        <f t="shared" si="0"/>
        <v>-5721.8304721843324</v>
      </c>
      <c r="F25">
        <f t="shared" si="1"/>
        <v>-5722</v>
      </c>
      <c r="G25" s="23">
        <f t="shared" si="2"/>
        <v>7.157599999482045E-2</v>
      </c>
      <c r="K25">
        <f t="shared" si="3"/>
        <v>7.157599999482045E-2</v>
      </c>
      <c r="O25">
        <f t="shared" ca="1" si="4"/>
        <v>6.753520870719866E-2</v>
      </c>
      <c r="Q25" s="2">
        <f t="shared" si="5"/>
        <v>35188.917399999998</v>
      </c>
    </row>
    <row r="26" spans="1:21" x14ac:dyDescent="0.2">
      <c r="A26" t="s">
        <v>41</v>
      </c>
      <c r="B26" s="6" t="s">
        <v>36</v>
      </c>
      <c r="C26" s="22">
        <v>50218.394800000002</v>
      </c>
      <c r="D26" s="6"/>
      <c r="E26">
        <f t="shared" si="0"/>
        <v>-5695.8304911323312</v>
      </c>
      <c r="F26">
        <f t="shared" si="1"/>
        <v>-5696</v>
      </c>
      <c r="G26" s="23">
        <f t="shared" si="2"/>
        <v>7.1567999999388121E-2</v>
      </c>
      <c r="K26">
        <f t="shared" si="3"/>
        <v>7.1567999999388121E-2</v>
      </c>
      <c r="O26">
        <f t="shared" ca="1" si="4"/>
        <v>6.7556177960617053E-2</v>
      </c>
      <c r="Q26" s="2">
        <f t="shared" si="5"/>
        <v>35199.894800000002</v>
      </c>
    </row>
    <row r="27" spans="1:21" x14ac:dyDescent="0.2">
      <c r="A27" t="s">
        <v>41</v>
      </c>
      <c r="B27" s="6" t="s">
        <v>36</v>
      </c>
      <c r="C27" s="22">
        <v>50226.417300000001</v>
      </c>
      <c r="D27" s="6"/>
      <c r="E27">
        <f t="shared" si="0"/>
        <v>-5676.8291931938757</v>
      </c>
      <c r="F27">
        <f t="shared" si="1"/>
        <v>-5677</v>
      </c>
      <c r="G27" s="23">
        <f t="shared" si="2"/>
        <v>7.2116000003006775E-2</v>
      </c>
      <c r="K27">
        <f t="shared" si="3"/>
        <v>7.2116000003006775E-2</v>
      </c>
      <c r="O27">
        <f t="shared" ca="1" si="4"/>
        <v>6.7571501645807414E-2</v>
      </c>
      <c r="Q27" s="2">
        <f t="shared" si="5"/>
        <v>35207.917300000001</v>
      </c>
    </row>
    <row r="28" spans="1:21" x14ac:dyDescent="0.2">
      <c r="A28" s="72" t="s">
        <v>99</v>
      </c>
      <c r="B28" s="73" t="s">
        <v>36</v>
      </c>
      <c r="C28" s="72">
        <v>51199.608</v>
      </c>
      <c r="D28" s="72" t="s">
        <v>70</v>
      </c>
      <c r="E28" s="23">
        <f t="shared" si="0"/>
        <v>-3371.8262088828278</v>
      </c>
      <c r="F28" s="23">
        <f t="shared" si="1"/>
        <v>-3372</v>
      </c>
      <c r="G28" s="23">
        <f t="shared" si="2"/>
        <v>7.3376000000280328E-2</v>
      </c>
      <c r="H28" s="23"/>
      <c r="I28" s="23">
        <f>+G28</f>
        <v>7.3376000000280328E-2</v>
      </c>
      <c r="J28" s="23"/>
      <c r="O28">
        <f t="shared" ca="1" si="4"/>
        <v>6.9430506612322598E-2</v>
      </c>
      <c r="Q28" s="2">
        <f t="shared" si="5"/>
        <v>36181.108</v>
      </c>
    </row>
    <row r="29" spans="1:21" x14ac:dyDescent="0.2">
      <c r="A29" s="72" t="s">
        <v>103</v>
      </c>
      <c r="B29" s="73" t="s">
        <v>36</v>
      </c>
      <c r="C29" s="72">
        <v>51984.493999999999</v>
      </c>
      <c r="D29" s="72" t="s">
        <v>70</v>
      </c>
      <c r="E29" s="23">
        <f t="shared" si="0"/>
        <v>-1512.8230635137238</v>
      </c>
      <c r="F29" s="23">
        <f t="shared" si="1"/>
        <v>-1513</v>
      </c>
      <c r="G29" s="23">
        <f t="shared" si="2"/>
        <v>7.470399999874644E-2</v>
      </c>
      <c r="H29" s="23"/>
      <c r="I29" s="23">
        <f>+G29</f>
        <v>7.470399999874644E-2</v>
      </c>
      <c r="J29" s="23"/>
      <c r="O29">
        <f t="shared" ca="1" si="4"/>
        <v>7.0929808231737668E-2</v>
      </c>
      <c r="Q29" s="2">
        <f t="shared" si="5"/>
        <v>36965.993999999999</v>
      </c>
    </row>
    <row r="30" spans="1:21" x14ac:dyDescent="0.2">
      <c r="A30" s="14" t="s">
        <v>33</v>
      </c>
      <c r="B30" s="15" t="s">
        <v>34</v>
      </c>
      <c r="C30" s="16">
        <v>52279.619400000003</v>
      </c>
      <c r="D30" s="16">
        <v>5.5999999999999999E-3</v>
      </c>
      <c r="E30">
        <f t="shared" si="0"/>
        <v>-813.81830756403929</v>
      </c>
      <c r="F30">
        <f t="shared" si="1"/>
        <v>-814</v>
      </c>
      <c r="G30" s="23">
        <f t="shared" si="2"/>
        <v>7.6712000001862179E-2</v>
      </c>
      <c r="K30">
        <f>+G30</f>
        <v>7.6712000001862179E-2</v>
      </c>
      <c r="O30">
        <f t="shared" ca="1" si="4"/>
        <v>7.1493558544793681E-2</v>
      </c>
      <c r="Q30" s="2">
        <f t="shared" si="5"/>
        <v>37261.119400000003</v>
      </c>
    </row>
    <row r="31" spans="1:21" x14ac:dyDescent="0.2">
      <c r="A31" s="74" t="s">
        <v>112</v>
      </c>
      <c r="B31" s="75" t="s">
        <v>36</v>
      </c>
      <c r="C31" s="76">
        <v>52362.37</v>
      </c>
      <c r="D31" s="76" t="s">
        <v>70</v>
      </c>
      <c r="E31" s="23">
        <f t="shared" si="0"/>
        <v>-617.82344247384822</v>
      </c>
      <c r="F31" s="23">
        <f t="shared" si="1"/>
        <v>-618</v>
      </c>
      <c r="G31" s="23">
        <f t="shared" si="2"/>
        <v>7.454400000278838E-2</v>
      </c>
      <c r="H31" s="23"/>
      <c r="I31" s="23">
        <f>+G31</f>
        <v>7.454400000278838E-2</v>
      </c>
      <c r="J31" s="23"/>
      <c r="O31">
        <f t="shared" ca="1" si="4"/>
        <v>7.1651634455178498E-2</v>
      </c>
      <c r="Q31" s="2">
        <f t="shared" si="5"/>
        <v>37343.870000000003</v>
      </c>
    </row>
    <row r="32" spans="1:21" x14ac:dyDescent="0.2">
      <c r="A32" s="32" t="s">
        <v>38</v>
      </c>
      <c r="B32" s="34"/>
      <c r="C32" s="36">
        <v>52623.22</v>
      </c>
      <c r="D32" s="33"/>
      <c r="E32">
        <f t="shared" si="0"/>
        <v>0</v>
      </c>
      <c r="F32">
        <f t="shared" si="1"/>
        <v>0</v>
      </c>
      <c r="H32" s="20">
        <v>0</v>
      </c>
      <c r="O32">
        <f t="shared" ca="1" si="4"/>
        <v>7.2150057478738747E-2</v>
      </c>
      <c r="Q32" s="2">
        <f t="shared" si="5"/>
        <v>37604.720000000001</v>
      </c>
    </row>
    <row r="33" spans="1:21" x14ac:dyDescent="0.2">
      <c r="A33" s="14" t="s">
        <v>35</v>
      </c>
      <c r="B33" s="17" t="s">
        <v>36</v>
      </c>
      <c r="C33" s="18">
        <v>52691.270499999999</v>
      </c>
      <c r="D33" s="18">
        <v>5.9999999999999995E-4</v>
      </c>
      <c r="E33" s="23">
        <f t="shared" si="0"/>
        <v>161.17766598453264</v>
      </c>
      <c r="F33" s="23">
        <f t="shared" si="1"/>
        <v>161</v>
      </c>
      <c r="G33" s="23"/>
      <c r="H33" s="23"/>
      <c r="J33" s="23"/>
      <c r="O33">
        <f t="shared" ca="1" si="4"/>
        <v>7.2279905547983414E-2</v>
      </c>
      <c r="Q33" s="2">
        <f t="shared" si="5"/>
        <v>37672.770499999999</v>
      </c>
      <c r="U33" s="58">
        <v>4.7319999997853301E-2</v>
      </c>
    </row>
    <row r="34" spans="1:21" x14ac:dyDescent="0.2">
      <c r="A34" s="56" t="s">
        <v>58</v>
      </c>
      <c r="B34" s="57" t="s">
        <v>36</v>
      </c>
      <c r="C34" s="56">
        <v>53325.631000000001</v>
      </c>
      <c r="D34" s="56">
        <v>7.0000000000000001E-3</v>
      </c>
      <c r="E34" s="23">
        <f t="shared" si="0"/>
        <v>1663.6610391086858</v>
      </c>
      <c r="F34" s="23">
        <f t="shared" si="1"/>
        <v>1663.5</v>
      </c>
      <c r="G34" s="23">
        <f t="shared" ref="G34:G43" si="6">+C34-(C$7+F34*C$8)</f>
        <v>6.7991999996593222E-2</v>
      </c>
      <c r="H34" s="23"/>
      <c r="I34" s="23">
        <f>+G34</f>
        <v>6.7991999996593222E-2</v>
      </c>
      <c r="J34" s="23"/>
      <c r="O34">
        <f t="shared" ca="1" si="4"/>
        <v>7.3491686442642437E-2</v>
      </c>
      <c r="Q34" s="2">
        <f t="shared" si="5"/>
        <v>38307.131000000001</v>
      </c>
    </row>
    <row r="35" spans="1:21" x14ac:dyDescent="0.2">
      <c r="A35" s="18" t="s">
        <v>51</v>
      </c>
      <c r="B35" s="17" t="s">
        <v>36</v>
      </c>
      <c r="C35" s="18">
        <v>54839.883699999998</v>
      </c>
      <c r="D35" s="18">
        <v>1.1000000000000001E-3</v>
      </c>
      <c r="E35" s="23">
        <f t="shared" si="0"/>
        <v>5250.1698215097704</v>
      </c>
      <c r="F35" s="23">
        <f t="shared" si="1"/>
        <v>5250</v>
      </c>
      <c r="G35" s="23">
        <f t="shared" si="6"/>
        <v>7.1700000000419095E-2</v>
      </c>
      <c r="H35" s="23"/>
      <c r="J35" s="23"/>
      <c r="K35" s="23">
        <f>+G35</f>
        <v>7.1700000000419095E-2</v>
      </c>
      <c r="O35">
        <f t="shared" ca="1" si="4"/>
        <v>7.6384233649760325E-2</v>
      </c>
      <c r="Q35" s="2">
        <f t="shared" si="5"/>
        <v>39821.383699999998</v>
      </c>
    </row>
    <row r="36" spans="1:21" x14ac:dyDescent="0.2">
      <c r="A36" s="18" t="s">
        <v>51</v>
      </c>
      <c r="B36" s="17" t="s">
        <v>36</v>
      </c>
      <c r="C36" s="18">
        <v>54842.8436</v>
      </c>
      <c r="D36" s="18">
        <v>5.0000000000000001E-4</v>
      </c>
      <c r="E36" s="23">
        <f t="shared" si="0"/>
        <v>5257.1803471274798</v>
      </c>
      <c r="F36" s="23">
        <f t="shared" si="1"/>
        <v>5257</v>
      </c>
      <c r="G36" s="23">
        <f t="shared" si="6"/>
        <v>7.6143999998748768E-2</v>
      </c>
      <c r="H36" s="23"/>
      <c r="J36" s="23"/>
      <c r="K36" s="23">
        <f>+G36</f>
        <v>7.6143999998748768E-2</v>
      </c>
      <c r="O36">
        <f t="shared" ca="1" si="4"/>
        <v>7.6389879217988343E-2</v>
      </c>
      <c r="Q36" s="2">
        <f t="shared" si="5"/>
        <v>39824.3436</v>
      </c>
    </row>
    <row r="37" spans="1:21" x14ac:dyDescent="0.2">
      <c r="A37" s="56" t="s">
        <v>53</v>
      </c>
      <c r="B37" s="57" t="s">
        <v>34</v>
      </c>
      <c r="C37" s="56">
        <v>55245.843200000003</v>
      </c>
      <c r="D37" s="56">
        <v>2.9999999999999997E-4</v>
      </c>
      <c r="E37" s="23">
        <f t="shared" si="0"/>
        <v>6211.6852357132066</v>
      </c>
      <c r="F37" s="23">
        <f t="shared" si="1"/>
        <v>6211.5</v>
      </c>
      <c r="G37" s="23">
        <f t="shared" si="6"/>
        <v>7.8207999998994637E-2</v>
      </c>
      <c r="H37" s="23"/>
      <c r="J37" s="23"/>
      <c r="K37" s="23">
        <f>+G37</f>
        <v>7.8207999998994637E-2</v>
      </c>
      <c r="O37">
        <f t="shared" ca="1" si="4"/>
        <v>7.7159692771367416E-2</v>
      </c>
      <c r="Q37" s="2">
        <f t="shared" si="5"/>
        <v>40227.343200000003</v>
      </c>
    </row>
    <row r="38" spans="1:21" x14ac:dyDescent="0.2">
      <c r="A38" s="56" t="s">
        <v>56</v>
      </c>
      <c r="B38" s="57" t="s">
        <v>36</v>
      </c>
      <c r="C38" s="56">
        <v>55275.397900000004</v>
      </c>
      <c r="D38" s="81">
        <v>1.5E-3</v>
      </c>
      <c r="E38" s="23">
        <f t="shared" si="0"/>
        <v>6281.6855673033251</v>
      </c>
      <c r="F38" s="23">
        <f t="shared" si="1"/>
        <v>6281.5</v>
      </c>
      <c r="G38" s="23">
        <f t="shared" si="6"/>
        <v>7.8348000002733897E-2</v>
      </c>
      <c r="H38" s="23"/>
      <c r="J38" s="23">
        <f>+G38</f>
        <v>7.8348000002733897E-2</v>
      </c>
      <c r="O38">
        <f t="shared" ca="1" si="4"/>
        <v>7.7216148453647701E-2</v>
      </c>
      <c r="Q38" s="2">
        <f t="shared" si="5"/>
        <v>40256.897900000004</v>
      </c>
    </row>
    <row r="39" spans="1:21" x14ac:dyDescent="0.2">
      <c r="A39" s="56" t="s">
        <v>57</v>
      </c>
      <c r="B39" s="57" t="s">
        <v>36</v>
      </c>
      <c r="C39" s="56">
        <v>55577.910400000001</v>
      </c>
      <c r="D39" s="56">
        <v>5.0000000000000001E-4</v>
      </c>
      <c r="E39" s="23">
        <f t="shared" si="0"/>
        <v>6998.1866757617081</v>
      </c>
      <c r="F39" s="23">
        <f t="shared" si="1"/>
        <v>6998</v>
      </c>
      <c r="G39" s="23">
        <f t="shared" si="6"/>
        <v>7.8816000001097564E-2</v>
      </c>
      <c r="H39" s="23"/>
      <c r="J39" s="23"/>
      <c r="K39" s="23">
        <f>+G39</f>
        <v>7.8816000001097564E-2</v>
      </c>
      <c r="O39">
        <f t="shared" ca="1" si="4"/>
        <v>7.7794012687273789E-2</v>
      </c>
      <c r="Q39" s="2">
        <f t="shared" si="5"/>
        <v>40559.410400000001</v>
      </c>
    </row>
    <row r="40" spans="1:21" x14ac:dyDescent="0.2">
      <c r="A40" s="56" t="s">
        <v>57</v>
      </c>
      <c r="B40" s="57" t="s">
        <v>36</v>
      </c>
      <c r="C40" s="56">
        <v>55652.640599999999</v>
      </c>
      <c r="D40" s="56">
        <v>1E-3</v>
      </c>
      <c r="E40" s="23">
        <f t="shared" si="0"/>
        <v>7175.1852167651905</v>
      </c>
      <c r="F40" s="23">
        <f t="shared" si="1"/>
        <v>7175</v>
      </c>
      <c r="G40" s="23">
        <f t="shared" si="6"/>
        <v>7.8199999996286351E-2</v>
      </c>
      <c r="H40" s="23"/>
      <c r="J40" s="23"/>
      <c r="K40" s="23">
        <f>+G40</f>
        <v>7.8199999996286351E-2</v>
      </c>
      <c r="O40">
        <f t="shared" ca="1" si="4"/>
        <v>7.7936764912468232E-2</v>
      </c>
      <c r="Q40" s="2">
        <f t="shared" si="5"/>
        <v>40634.140599999999</v>
      </c>
    </row>
    <row r="41" spans="1:21" x14ac:dyDescent="0.2">
      <c r="A41" s="18" t="s">
        <v>59</v>
      </c>
      <c r="B41" s="17" t="s">
        <v>36</v>
      </c>
      <c r="C41" s="18">
        <v>56002.648999999998</v>
      </c>
      <c r="D41" s="18">
        <v>5.9999999999999995E-4</v>
      </c>
      <c r="E41" s="23">
        <f t="shared" si="0"/>
        <v>8004.1804039714934</v>
      </c>
      <c r="F41" s="23">
        <f t="shared" si="1"/>
        <v>8004</v>
      </c>
      <c r="G41" s="23">
        <f t="shared" si="6"/>
        <v>7.6167999999597669E-2</v>
      </c>
      <c r="H41" s="23"/>
      <c r="J41" s="23"/>
      <c r="K41" s="23">
        <f>+G41</f>
        <v>7.6167999999597669E-2</v>
      </c>
      <c r="O41">
        <f t="shared" ca="1" si="4"/>
        <v>7.860536149261621E-2</v>
      </c>
      <c r="Q41" s="2">
        <f t="shared" si="5"/>
        <v>40984.148999999998</v>
      </c>
    </row>
    <row r="42" spans="1:21" x14ac:dyDescent="0.2">
      <c r="A42" s="78" t="s">
        <v>0</v>
      </c>
      <c r="B42" s="79" t="s">
        <v>36</v>
      </c>
      <c r="C42" s="80">
        <v>57414.307000000001</v>
      </c>
      <c r="D42" s="80">
        <v>1.1999999999999999E-3</v>
      </c>
      <c r="E42" s="23">
        <f t="shared" si="0"/>
        <v>11347.69355388813</v>
      </c>
      <c r="F42" s="23">
        <f t="shared" si="1"/>
        <v>11347.5</v>
      </c>
      <c r="G42" s="23">
        <f t="shared" si="6"/>
        <v>8.1720000001951121E-2</v>
      </c>
      <c r="H42" s="23"/>
      <c r="J42" s="23"/>
      <c r="K42" s="23">
        <f>+G42</f>
        <v>8.1720000001951121E-2</v>
      </c>
      <c r="O42">
        <f t="shared" ca="1" si="4"/>
        <v>8.1301926831246804E-2</v>
      </c>
      <c r="Q42" s="2">
        <f t="shared" si="5"/>
        <v>42395.807000000001</v>
      </c>
    </row>
    <row r="43" spans="1:21" x14ac:dyDescent="0.2">
      <c r="A43" s="78" t="s">
        <v>0</v>
      </c>
      <c r="B43" s="79" t="s">
        <v>36</v>
      </c>
      <c r="C43" s="80">
        <v>57414.518300000003</v>
      </c>
      <c r="D43" s="80">
        <v>1.1000000000000001E-3</v>
      </c>
      <c r="E43" s="23">
        <f t="shared" si="0"/>
        <v>11348.194018114298</v>
      </c>
      <c r="F43" s="23">
        <f t="shared" si="1"/>
        <v>11348</v>
      </c>
      <c r="G43" s="23">
        <f t="shared" si="6"/>
        <v>8.191600000282051E-2</v>
      </c>
      <c r="H43" s="23"/>
      <c r="J43" s="23"/>
      <c r="K43" s="23">
        <f>+G43</f>
        <v>8.191600000282051E-2</v>
      </c>
      <c r="O43">
        <f t="shared" ca="1" si="4"/>
        <v>8.1302330086120228E-2</v>
      </c>
      <c r="Q43" s="2">
        <f t="shared" si="5"/>
        <v>42396.018300000003</v>
      </c>
    </row>
    <row r="44" spans="1:21" x14ac:dyDescent="0.2">
      <c r="C44" s="22"/>
      <c r="D44" s="22"/>
    </row>
    <row r="45" spans="1:21" x14ac:dyDescent="0.2">
      <c r="C45" s="22"/>
      <c r="D45" s="22"/>
    </row>
    <row r="46" spans="1:21" x14ac:dyDescent="0.2">
      <c r="C46" s="22"/>
      <c r="D46" s="22"/>
    </row>
    <row r="47" spans="1:21" x14ac:dyDescent="0.2">
      <c r="C47" s="22"/>
      <c r="D47" s="22"/>
    </row>
    <row r="48" spans="1:21" x14ac:dyDescent="0.2">
      <c r="C48" s="22"/>
      <c r="D48" s="22"/>
    </row>
    <row r="49" spans="3:4" x14ac:dyDescent="0.2">
      <c r="C49" s="22"/>
      <c r="D49" s="22"/>
    </row>
    <row r="50" spans="3:4" x14ac:dyDescent="0.2">
      <c r="C50" s="22"/>
      <c r="D50" s="22"/>
    </row>
    <row r="51" spans="3:4" x14ac:dyDescent="0.2">
      <c r="C51" s="22"/>
      <c r="D51" s="22"/>
    </row>
    <row r="52" spans="3:4" x14ac:dyDescent="0.2">
      <c r="C52" s="22"/>
      <c r="D52" s="22"/>
    </row>
    <row r="53" spans="3:4" x14ac:dyDescent="0.2">
      <c r="C53" s="22"/>
      <c r="D53" s="22"/>
    </row>
    <row r="54" spans="3:4" x14ac:dyDescent="0.2">
      <c r="C54" s="22"/>
      <c r="D54" s="22"/>
    </row>
    <row r="55" spans="3:4" x14ac:dyDescent="0.2">
      <c r="C55" s="22"/>
      <c r="D55" s="22"/>
    </row>
    <row r="56" spans="3:4" x14ac:dyDescent="0.2">
      <c r="C56" s="22"/>
      <c r="D56" s="22"/>
    </row>
    <row r="57" spans="3:4" x14ac:dyDescent="0.2">
      <c r="C57" s="22"/>
      <c r="D57" s="22"/>
    </row>
    <row r="58" spans="3:4" x14ac:dyDescent="0.2">
      <c r="C58" s="22"/>
      <c r="D58" s="22"/>
    </row>
    <row r="59" spans="3:4" x14ac:dyDescent="0.2">
      <c r="C59" s="22"/>
      <c r="D59" s="22"/>
    </row>
    <row r="60" spans="3:4" x14ac:dyDescent="0.2">
      <c r="C60" s="22"/>
      <c r="D60" s="22"/>
    </row>
    <row r="61" spans="3:4" x14ac:dyDescent="0.2">
      <c r="C61" s="22"/>
      <c r="D61" s="22"/>
    </row>
    <row r="62" spans="3:4" x14ac:dyDescent="0.2">
      <c r="C62" s="22"/>
      <c r="D62" s="22"/>
    </row>
    <row r="63" spans="3:4" x14ac:dyDescent="0.2">
      <c r="C63" s="22"/>
      <c r="D63" s="22"/>
    </row>
    <row r="64" spans="3:4" x14ac:dyDescent="0.2">
      <c r="C64" s="22"/>
      <c r="D64" s="22"/>
    </row>
    <row r="65" spans="3:4" x14ac:dyDescent="0.2">
      <c r="C65" s="22"/>
      <c r="D65" s="22"/>
    </row>
    <row r="66" spans="3:4" x14ac:dyDescent="0.2">
      <c r="C66" s="22"/>
      <c r="D66" s="22"/>
    </row>
    <row r="67" spans="3:4" x14ac:dyDescent="0.2">
      <c r="C67" s="22"/>
      <c r="D67" s="22"/>
    </row>
    <row r="68" spans="3:4" x14ac:dyDescent="0.2">
      <c r="C68" s="22"/>
      <c r="D68" s="22"/>
    </row>
    <row r="69" spans="3:4" x14ac:dyDescent="0.2">
      <c r="C69" s="22"/>
      <c r="D69" s="22"/>
    </row>
    <row r="70" spans="3:4" x14ac:dyDescent="0.2">
      <c r="C70" s="22"/>
      <c r="D70" s="22"/>
    </row>
    <row r="71" spans="3:4" x14ac:dyDescent="0.2">
      <c r="C71" s="22"/>
      <c r="D71" s="22"/>
    </row>
    <row r="72" spans="3:4" x14ac:dyDescent="0.2">
      <c r="C72" s="22"/>
      <c r="D72" s="22"/>
    </row>
    <row r="73" spans="3:4" x14ac:dyDescent="0.2">
      <c r="C73" s="22"/>
      <c r="D73" s="22"/>
    </row>
    <row r="74" spans="3:4" x14ac:dyDescent="0.2">
      <c r="C74" s="22"/>
      <c r="D74" s="22"/>
    </row>
    <row r="75" spans="3:4" x14ac:dyDescent="0.2">
      <c r="C75" s="22"/>
      <c r="D75" s="22"/>
    </row>
    <row r="76" spans="3:4" x14ac:dyDescent="0.2">
      <c r="C76" s="22"/>
      <c r="D76" s="22"/>
    </row>
    <row r="77" spans="3:4" x14ac:dyDescent="0.2">
      <c r="C77" s="22"/>
      <c r="D77" s="22"/>
    </row>
    <row r="78" spans="3:4" x14ac:dyDescent="0.2">
      <c r="C78" s="22"/>
      <c r="D78" s="22"/>
    </row>
    <row r="79" spans="3:4" x14ac:dyDescent="0.2">
      <c r="C79" s="22"/>
      <c r="D79" s="22"/>
    </row>
    <row r="80" spans="3:4" x14ac:dyDescent="0.2">
      <c r="C80" s="22"/>
      <c r="D80" s="22"/>
    </row>
  </sheetData>
  <phoneticPr fontId="8" type="noConversion"/>
  <hyperlinks>
    <hyperlink ref="H1455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workbookViewId="0"/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32</v>
      </c>
    </row>
    <row r="2" spans="1:4" x14ac:dyDescent="0.2">
      <c r="A2" t="s">
        <v>25</v>
      </c>
      <c r="C2" s="6"/>
      <c r="D2" s="6"/>
    </row>
    <row r="3" spans="1:4" ht="13.5" thickBot="1" x14ac:dyDescent="0.25"/>
    <row r="4" spans="1:4" ht="13.5" thickBot="1" x14ac:dyDescent="0.25">
      <c r="A4" s="19" t="s">
        <v>37</v>
      </c>
      <c r="C4" s="25">
        <v>50154.2091</v>
      </c>
      <c r="D4" s="26">
        <v>0.42227999999999999</v>
      </c>
    </row>
    <row r="5" spans="1:4" x14ac:dyDescent="0.2">
      <c r="A5" s="13" t="s">
        <v>39</v>
      </c>
      <c r="B5" s="13"/>
      <c r="C5" s="13" t="s">
        <v>40</v>
      </c>
    </row>
    <row r="6" spans="1:4" x14ac:dyDescent="0.2">
      <c r="A6" s="8" t="s">
        <v>1</v>
      </c>
    </row>
    <row r="7" spans="1:4" x14ac:dyDescent="0.2">
      <c r="A7" t="s">
        <v>2</v>
      </c>
      <c r="C7" s="23">
        <v>52623.22</v>
      </c>
    </row>
    <row r="8" spans="1:4" x14ac:dyDescent="0.2">
      <c r="A8" t="s">
        <v>3</v>
      </c>
      <c r="C8" s="23">
        <v>0.42220999999999997</v>
      </c>
    </row>
    <row r="10" spans="1:4" ht="13.5" thickBot="1" x14ac:dyDescent="0.25">
      <c r="C10" s="7" t="s">
        <v>20</v>
      </c>
      <c r="D10" s="7" t="s">
        <v>21</v>
      </c>
    </row>
    <row r="11" spans="1:4" x14ac:dyDescent="0.2">
      <c r="A11" t="s">
        <v>15</v>
      </c>
      <c r="C11">
        <f>INTERCEPT(G21:G996,$F21:$F996)</f>
        <v>8.0229300565615225E-2</v>
      </c>
      <c r="D11" s="6"/>
    </row>
    <row r="12" spans="1:4" x14ac:dyDescent="0.2">
      <c r="A12" t="s">
        <v>16</v>
      </c>
      <c r="C12">
        <f>SLOPE(G21:G996,$F21:$F996)</f>
        <v>1.3850588660097731E-5</v>
      </c>
      <c r="D12" s="6"/>
    </row>
    <row r="13" spans="1:4" x14ac:dyDescent="0.2">
      <c r="A13" t="s">
        <v>19</v>
      </c>
      <c r="C13" s="6" t="s">
        <v>13</v>
      </c>
      <c r="D13" s="6"/>
    </row>
    <row r="14" spans="1:4" x14ac:dyDescent="0.2">
      <c r="A14" t="s">
        <v>24</v>
      </c>
    </row>
    <row r="15" spans="1:4" x14ac:dyDescent="0.2">
      <c r="A15" s="3" t="s">
        <v>17</v>
      </c>
      <c r="C15" s="11">
        <f>($C$7+C$11)+($C$8+C$12)*INT(MAX($F21:$F3530))</f>
        <v>52691.278269245347</v>
      </c>
    </row>
    <row r="16" spans="1:4" x14ac:dyDescent="0.2">
      <c r="A16" s="8" t="s">
        <v>4</v>
      </c>
      <c r="C16" s="12">
        <f>+$C$8+C$12</f>
        <v>0.42222385058866008</v>
      </c>
    </row>
    <row r="17" spans="1:17" ht="13.5" thickBot="1" x14ac:dyDescent="0.25">
      <c r="A17" s="13" t="s">
        <v>31</v>
      </c>
      <c r="C17">
        <f>COUNT(C21:C2188)</f>
        <v>10</v>
      </c>
    </row>
    <row r="18" spans="1:17" ht="14.25" thickTop="1" thickBot="1" x14ac:dyDescent="0.25">
      <c r="A18" s="8" t="s">
        <v>5</v>
      </c>
      <c r="C18" s="4">
        <f>+C15</f>
        <v>52691.278269245347</v>
      </c>
      <c r="D18" s="5">
        <f>+C16</f>
        <v>0.42222385058866008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38</v>
      </c>
      <c r="I20" s="10" t="s">
        <v>30</v>
      </c>
      <c r="J20" s="10" t="s">
        <v>18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14</v>
      </c>
    </row>
    <row r="21" spans="1:17" x14ac:dyDescent="0.2">
      <c r="A21" s="27" t="s">
        <v>33</v>
      </c>
      <c r="B21" s="28" t="s">
        <v>34</v>
      </c>
      <c r="C21" s="29">
        <v>52279.619400000003</v>
      </c>
      <c r="D21" s="29">
        <v>5.5999999999999999E-3</v>
      </c>
      <c r="E21">
        <f>+(C21-C$7)/C$8</f>
        <v>-813.81445252362084</v>
      </c>
      <c r="F21">
        <f>ROUND(2*E21,0)/2</f>
        <v>-814</v>
      </c>
      <c r="G21">
        <f>+C21-(C$7+F21*C$8)</f>
        <v>7.8340000000025611E-2</v>
      </c>
      <c r="I21">
        <f>+G21</f>
        <v>7.8340000000025611E-2</v>
      </c>
      <c r="O21">
        <f>+C$11+C$12*$F21</f>
        <v>6.8954921396295665E-2</v>
      </c>
      <c r="Q21" s="2">
        <f>+C21-15018.5</f>
        <v>37261.119400000003</v>
      </c>
    </row>
    <row r="22" spans="1:17" x14ac:dyDescent="0.2">
      <c r="A22" t="s">
        <v>38</v>
      </c>
      <c r="C22" s="21">
        <v>52623.22</v>
      </c>
      <c r="D22" s="22"/>
      <c r="E22">
        <f>+(C22-C$7)/C$8</f>
        <v>0</v>
      </c>
      <c r="F22">
        <f>ROUND(2*E22,0)/2</f>
        <v>0</v>
      </c>
      <c r="H22" s="20">
        <v>0</v>
      </c>
      <c r="O22">
        <f>+C$11+C$12*$F22</f>
        <v>8.0229300565615225E-2</v>
      </c>
      <c r="Q22" s="2">
        <f>+C22-15018.5</f>
        <v>37604.720000000001</v>
      </c>
    </row>
    <row r="23" spans="1:17" x14ac:dyDescent="0.2">
      <c r="A23" s="27" t="s">
        <v>35</v>
      </c>
      <c r="B23" s="30" t="s">
        <v>36</v>
      </c>
      <c r="C23" s="31">
        <v>52691.270499999999</v>
      </c>
      <c r="D23" s="31">
        <v>5.9999999999999995E-4</v>
      </c>
      <c r="E23">
        <f>+(C23-C$7)/C$8</f>
        <v>161.17690248927681</v>
      </c>
      <c r="F23">
        <f>ROUND(2*E23,0)/2</f>
        <v>161</v>
      </c>
      <c r="G23">
        <f>+C23-(C$7+F23*C$8)</f>
        <v>7.4689999994006939E-2</v>
      </c>
      <c r="I23">
        <f>+G23</f>
        <v>7.4689999994006939E-2</v>
      </c>
      <c r="O23">
        <f>+C$11+C$12*$F23</f>
        <v>8.2459245339890963E-2</v>
      </c>
      <c r="Q23" s="2">
        <f>+C23-15018.5</f>
        <v>37672.770499999999</v>
      </c>
    </row>
    <row r="24" spans="1:17" x14ac:dyDescent="0.2">
      <c r="A24" t="s">
        <v>41</v>
      </c>
      <c r="B24" s="24" t="s">
        <v>34</v>
      </c>
      <c r="C24" s="22">
        <v>50154.420599999998</v>
      </c>
      <c r="D24" s="6"/>
      <c r="E24">
        <f t="shared" ref="E24:E30" si="0">+(C24-C$7)/C$8</f>
        <v>-5847.3257383766459</v>
      </c>
      <c r="F24">
        <f t="shared" ref="F24:F30" si="1">ROUND(2*E24,0)/2</f>
        <v>-5847.5</v>
      </c>
      <c r="G24" s="24">
        <v>4.0000000000000002E-4</v>
      </c>
      <c r="I24">
        <f t="shared" ref="I24:I30" si="2">+G24</f>
        <v>4.0000000000000002E-4</v>
      </c>
      <c r="O24">
        <f t="shared" ref="O24:O30" si="3">+C$11+C$12*$F24</f>
        <v>-7.6201662430624983E-4</v>
      </c>
      <c r="Q24" s="2">
        <f t="shared" ref="Q24:Q30" si="4">+C24-15018.5</f>
        <v>35135.920599999998</v>
      </c>
    </row>
    <row r="25" spans="1:17" x14ac:dyDescent="0.2">
      <c r="A25" t="s">
        <v>41</v>
      </c>
      <c r="B25" s="24" t="s">
        <v>34</v>
      </c>
      <c r="C25" s="22">
        <v>50159.4876</v>
      </c>
      <c r="D25" s="6"/>
      <c r="E25">
        <f t="shared" si="0"/>
        <v>-5835.3246015016248</v>
      </c>
      <c r="F25">
        <f t="shared" si="1"/>
        <v>-5835.5</v>
      </c>
      <c r="G25" s="24">
        <v>0</v>
      </c>
      <c r="I25">
        <f t="shared" si="2"/>
        <v>0</v>
      </c>
      <c r="O25">
        <f t="shared" si="3"/>
        <v>-5.9580956038508825E-4</v>
      </c>
      <c r="Q25" s="2">
        <f t="shared" si="4"/>
        <v>35140.9876</v>
      </c>
    </row>
    <row r="26" spans="1:17" x14ac:dyDescent="0.2">
      <c r="A26" t="s">
        <v>41</v>
      </c>
      <c r="B26" s="24" t="s">
        <v>36</v>
      </c>
      <c r="C26" s="22">
        <v>50164.342600000004</v>
      </c>
      <c r="D26" s="6"/>
      <c r="E26">
        <f t="shared" si="0"/>
        <v>-5823.8255844248069</v>
      </c>
      <c r="F26">
        <f t="shared" si="1"/>
        <v>-5824</v>
      </c>
      <c r="G26" s="24">
        <v>-1.1000000000000001E-3</v>
      </c>
      <c r="I26">
        <f t="shared" si="2"/>
        <v>-1.1000000000000001E-3</v>
      </c>
      <c r="O26">
        <f t="shared" si="3"/>
        <v>-4.3652779079396409E-4</v>
      </c>
      <c r="Q26" s="2">
        <f t="shared" si="4"/>
        <v>35145.842600000004</v>
      </c>
    </row>
    <row r="27" spans="1:17" x14ac:dyDescent="0.2">
      <c r="A27" t="s">
        <v>41</v>
      </c>
      <c r="B27" s="24" t="s">
        <v>34</v>
      </c>
      <c r="C27" s="22">
        <v>50165.399599999997</v>
      </c>
      <c r="D27" s="6"/>
      <c r="E27">
        <f t="shared" si="0"/>
        <v>-5821.3220909026413</v>
      </c>
      <c r="F27">
        <f t="shared" si="1"/>
        <v>-5821.5</v>
      </c>
      <c r="G27" s="24">
        <v>2.0000000000000001E-4</v>
      </c>
      <c r="I27">
        <f t="shared" si="2"/>
        <v>2.0000000000000001E-4</v>
      </c>
      <c r="O27">
        <f t="shared" si="3"/>
        <v>-4.0190131914370764E-4</v>
      </c>
      <c r="Q27" s="2">
        <f t="shared" si="4"/>
        <v>35146.899599999997</v>
      </c>
    </row>
    <row r="28" spans="1:17" x14ac:dyDescent="0.2">
      <c r="A28" t="s">
        <v>41</v>
      </c>
      <c r="B28" s="24" t="s">
        <v>36</v>
      </c>
      <c r="C28" s="22">
        <v>50207.417399999998</v>
      </c>
      <c r="D28" s="6"/>
      <c r="E28">
        <f t="shared" si="0"/>
        <v>-5721.8033679922382</v>
      </c>
      <c r="F28">
        <f t="shared" si="1"/>
        <v>-5722</v>
      </c>
      <c r="G28" s="24">
        <v>1.6000000000000001E-3</v>
      </c>
      <c r="I28">
        <f t="shared" si="2"/>
        <v>1.6000000000000001E-3</v>
      </c>
      <c r="O28">
        <f t="shared" si="3"/>
        <v>9.7623225253601342E-4</v>
      </c>
      <c r="Q28" s="2">
        <f t="shared" si="4"/>
        <v>35188.917399999998</v>
      </c>
    </row>
    <row r="29" spans="1:17" x14ac:dyDescent="0.2">
      <c r="A29" t="s">
        <v>41</v>
      </c>
      <c r="B29" s="24" t="s">
        <v>36</v>
      </c>
      <c r="C29" s="22">
        <v>50218.394800000002</v>
      </c>
      <c r="D29" s="6"/>
      <c r="E29">
        <f t="shared" si="0"/>
        <v>-5695.8035101016067</v>
      </c>
      <c r="F29">
        <f t="shared" si="1"/>
        <v>-5696</v>
      </c>
      <c r="G29" s="24">
        <v>-1E-4</v>
      </c>
      <c r="I29">
        <f t="shared" si="2"/>
        <v>-1E-4</v>
      </c>
      <c r="O29">
        <f t="shared" si="3"/>
        <v>1.3363475576985556E-3</v>
      </c>
      <c r="Q29" s="2">
        <f t="shared" si="4"/>
        <v>35199.894800000002</v>
      </c>
    </row>
    <row r="30" spans="1:17" x14ac:dyDescent="0.2">
      <c r="A30" t="s">
        <v>41</v>
      </c>
      <c r="B30" s="24" t="s">
        <v>36</v>
      </c>
      <c r="C30" s="22">
        <v>50226.417300000001</v>
      </c>
      <c r="D30" s="6"/>
      <c r="E30">
        <f t="shared" si="0"/>
        <v>-5676.8023021719055</v>
      </c>
      <c r="F30">
        <f t="shared" si="1"/>
        <v>-5677</v>
      </c>
      <c r="G30" s="24">
        <v>-8.9999999999999998E-4</v>
      </c>
      <c r="I30">
        <f t="shared" si="2"/>
        <v>-8.9999999999999998E-4</v>
      </c>
      <c r="O30">
        <f t="shared" si="3"/>
        <v>1.5995087422404075E-3</v>
      </c>
      <c r="Q30" s="2">
        <f t="shared" si="4"/>
        <v>35207.917300000001</v>
      </c>
    </row>
    <row r="31" spans="1:17" x14ac:dyDescent="0.2">
      <c r="C31" s="22"/>
      <c r="D31" s="22"/>
    </row>
    <row r="32" spans="1:17" x14ac:dyDescent="0.2">
      <c r="C32" s="22"/>
      <c r="D32" s="22"/>
    </row>
    <row r="33" spans="3:4" x14ac:dyDescent="0.2">
      <c r="C33" s="22"/>
      <c r="D33" s="22"/>
    </row>
    <row r="34" spans="3:4" x14ac:dyDescent="0.2">
      <c r="C34" s="22"/>
      <c r="D34" s="22"/>
    </row>
    <row r="35" spans="3:4" x14ac:dyDescent="0.2">
      <c r="C35" s="22"/>
      <c r="D35" s="22"/>
    </row>
    <row r="36" spans="3:4" x14ac:dyDescent="0.2">
      <c r="C36" s="22"/>
      <c r="D36" s="22"/>
    </row>
    <row r="37" spans="3:4" x14ac:dyDescent="0.2">
      <c r="C37" s="22"/>
      <c r="D37" s="22"/>
    </row>
    <row r="38" spans="3:4" x14ac:dyDescent="0.2">
      <c r="C38" s="22"/>
      <c r="D38" s="22"/>
    </row>
    <row r="39" spans="3:4" x14ac:dyDescent="0.2">
      <c r="C39" s="22"/>
      <c r="D39" s="22"/>
    </row>
    <row r="40" spans="3:4" x14ac:dyDescent="0.2">
      <c r="C40" s="22"/>
      <c r="D40" s="22"/>
    </row>
    <row r="41" spans="3:4" x14ac:dyDescent="0.2">
      <c r="C41" s="22"/>
      <c r="D41" s="22"/>
    </row>
    <row r="42" spans="3:4" x14ac:dyDescent="0.2">
      <c r="C42" s="22"/>
      <c r="D42" s="22"/>
    </row>
    <row r="43" spans="3:4" x14ac:dyDescent="0.2">
      <c r="C43" s="22"/>
      <c r="D43" s="22"/>
    </row>
    <row r="44" spans="3:4" x14ac:dyDescent="0.2">
      <c r="C44" s="22"/>
      <c r="D44" s="22"/>
    </row>
    <row r="45" spans="3:4" x14ac:dyDescent="0.2">
      <c r="C45" s="22"/>
      <c r="D45" s="22"/>
    </row>
    <row r="46" spans="3:4" x14ac:dyDescent="0.2">
      <c r="C46" s="22"/>
      <c r="D46" s="22"/>
    </row>
    <row r="47" spans="3:4" x14ac:dyDescent="0.2">
      <c r="C47" s="22"/>
      <c r="D47" s="22"/>
    </row>
    <row r="48" spans="3:4" x14ac:dyDescent="0.2">
      <c r="C48" s="22"/>
      <c r="D48" s="22"/>
    </row>
    <row r="49" spans="3:4" x14ac:dyDescent="0.2">
      <c r="C49" s="22"/>
      <c r="D49" s="22"/>
    </row>
    <row r="50" spans="3:4" x14ac:dyDescent="0.2">
      <c r="C50" s="22"/>
      <c r="D50" s="22"/>
    </row>
    <row r="51" spans="3:4" x14ac:dyDescent="0.2">
      <c r="C51" s="22"/>
      <c r="D51" s="22"/>
    </row>
    <row r="52" spans="3:4" x14ac:dyDescent="0.2">
      <c r="C52" s="22"/>
      <c r="D52" s="22"/>
    </row>
    <row r="53" spans="3:4" x14ac:dyDescent="0.2">
      <c r="C53" s="22"/>
      <c r="D53" s="22"/>
    </row>
    <row r="54" spans="3:4" x14ac:dyDescent="0.2">
      <c r="C54" s="22"/>
      <c r="D54" s="22"/>
    </row>
    <row r="55" spans="3:4" x14ac:dyDescent="0.2">
      <c r="C55" s="22"/>
      <c r="D55" s="22"/>
    </row>
    <row r="56" spans="3:4" x14ac:dyDescent="0.2">
      <c r="C56" s="22"/>
      <c r="D56" s="22"/>
    </row>
    <row r="57" spans="3:4" x14ac:dyDescent="0.2">
      <c r="C57" s="22"/>
      <c r="D57" s="22"/>
    </row>
    <row r="58" spans="3:4" x14ac:dyDescent="0.2">
      <c r="C58" s="22"/>
      <c r="D58" s="22"/>
    </row>
    <row r="59" spans="3:4" x14ac:dyDescent="0.2">
      <c r="C59" s="22"/>
      <c r="D59" s="22"/>
    </row>
    <row r="60" spans="3:4" x14ac:dyDescent="0.2">
      <c r="C60" s="22"/>
      <c r="D60" s="22"/>
    </row>
    <row r="61" spans="3:4" x14ac:dyDescent="0.2">
      <c r="C61" s="22"/>
      <c r="D61" s="22"/>
    </row>
    <row r="62" spans="3:4" x14ac:dyDescent="0.2">
      <c r="C62" s="22"/>
      <c r="D62" s="22"/>
    </row>
    <row r="63" spans="3:4" x14ac:dyDescent="0.2">
      <c r="C63" s="22"/>
      <c r="D63" s="22"/>
    </row>
    <row r="64" spans="3:4" x14ac:dyDescent="0.2">
      <c r="C64" s="22"/>
      <c r="D64" s="22"/>
    </row>
    <row r="65" spans="3:4" x14ac:dyDescent="0.2">
      <c r="C65" s="22"/>
      <c r="D65" s="22"/>
    </row>
    <row r="66" spans="3:4" x14ac:dyDescent="0.2">
      <c r="C66" s="22"/>
      <c r="D66" s="22"/>
    </row>
    <row r="67" spans="3:4" x14ac:dyDescent="0.2">
      <c r="C67" s="22"/>
      <c r="D67" s="22"/>
    </row>
    <row r="68" spans="3:4" x14ac:dyDescent="0.2">
      <c r="C68" s="22"/>
      <c r="D68" s="22"/>
    </row>
    <row r="69" spans="3:4" x14ac:dyDescent="0.2">
      <c r="C69" s="22"/>
      <c r="D69" s="22"/>
    </row>
    <row r="70" spans="3:4" x14ac:dyDescent="0.2">
      <c r="C70" s="22"/>
      <c r="D70" s="22"/>
    </row>
    <row r="71" spans="3:4" x14ac:dyDescent="0.2">
      <c r="C71" s="22"/>
      <c r="D71" s="22"/>
    </row>
    <row r="72" spans="3:4" x14ac:dyDescent="0.2">
      <c r="C72" s="22"/>
      <c r="D72" s="22"/>
    </row>
    <row r="73" spans="3:4" x14ac:dyDescent="0.2">
      <c r="C73" s="22"/>
      <c r="D73" s="22"/>
    </row>
    <row r="74" spans="3:4" x14ac:dyDescent="0.2">
      <c r="C74" s="22"/>
      <c r="D74" s="22"/>
    </row>
    <row r="75" spans="3:4" x14ac:dyDescent="0.2">
      <c r="C75" s="22"/>
      <c r="D75" s="22"/>
    </row>
    <row r="76" spans="3:4" x14ac:dyDescent="0.2">
      <c r="C76" s="22"/>
      <c r="D76" s="22"/>
    </row>
    <row r="77" spans="3:4" x14ac:dyDescent="0.2">
      <c r="C77" s="22"/>
      <c r="D77" s="22"/>
    </row>
    <row r="78" spans="3:4" x14ac:dyDescent="0.2">
      <c r="C78" s="22"/>
      <c r="D78" s="22"/>
    </row>
    <row r="79" spans="3:4" x14ac:dyDescent="0.2">
      <c r="C79" s="22"/>
      <c r="D79" s="22"/>
    </row>
    <row r="80" spans="3:4" x14ac:dyDescent="0.2">
      <c r="C80" s="22"/>
      <c r="D80" s="22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32</v>
      </c>
    </row>
    <row r="2" spans="1:7" x14ac:dyDescent="0.2">
      <c r="A2" t="s">
        <v>25</v>
      </c>
      <c r="B2" t="s">
        <v>44</v>
      </c>
      <c r="C2" s="22" t="s">
        <v>42</v>
      </c>
      <c r="D2" s="6"/>
    </row>
    <row r="3" spans="1:7" ht="13.5" thickBot="1" x14ac:dyDescent="0.25"/>
    <row r="4" spans="1:7" ht="13.5" thickBot="1" x14ac:dyDescent="0.25">
      <c r="A4" s="19" t="s">
        <v>43</v>
      </c>
      <c r="C4" s="25">
        <v>50154.2091</v>
      </c>
      <c r="D4" s="26">
        <v>0.42227999999999999</v>
      </c>
    </row>
    <row r="5" spans="1:7" x14ac:dyDescent="0.2">
      <c r="A5" s="13"/>
      <c r="B5" s="13"/>
      <c r="C5" s="13"/>
    </row>
    <row r="6" spans="1:7" x14ac:dyDescent="0.2">
      <c r="A6" s="8" t="s">
        <v>1</v>
      </c>
    </row>
    <row r="7" spans="1:7" x14ac:dyDescent="0.2">
      <c r="A7" t="s">
        <v>2</v>
      </c>
      <c r="C7" s="23">
        <v>52623.22</v>
      </c>
    </row>
    <row r="8" spans="1:7" x14ac:dyDescent="0.2">
      <c r="A8" t="s">
        <v>3</v>
      </c>
      <c r="C8" s="23">
        <v>0.42237999999999998</v>
      </c>
    </row>
    <row r="9" spans="1:7" x14ac:dyDescent="0.2">
      <c r="A9" s="37" t="s">
        <v>45</v>
      </c>
      <c r="B9" s="38"/>
      <c r="C9" s="39">
        <v>8</v>
      </c>
      <c r="D9" s="38" t="s">
        <v>46</v>
      </c>
      <c r="E9" s="38"/>
    </row>
    <row r="10" spans="1:7" ht="13.5" thickBot="1" x14ac:dyDescent="0.25">
      <c r="A10" s="38"/>
      <c r="B10" s="38"/>
      <c r="C10" s="7" t="s">
        <v>20</v>
      </c>
      <c r="D10" s="7" t="s">
        <v>21</v>
      </c>
      <c r="E10" s="38"/>
    </row>
    <row r="11" spans="1:7" x14ac:dyDescent="0.2">
      <c r="A11" s="38" t="s">
        <v>15</v>
      </c>
      <c r="B11" s="38"/>
      <c r="C11" s="50">
        <f ca="1">INTERCEPT(INDIRECT($G$11):G992,INDIRECT($F$11):F992)</f>
        <v>1.4123347702582868E-2</v>
      </c>
      <c r="D11" s="6"/>
      <c r="E11" s="38"/>
      <c r="F11" s="51" t="str">
        <f>"F"&amp;E19</f>
        <v>F21</v>
      </c>
      <c r="G11" s="20" t="str">
        <f>"G"&amp;E19</f>
        <v>G21</v>
      </c>
    </row>
    <row r="12" spans="1:7" x14ac:dyDescent="0.2">
      <c r="A12" s="38" t="s">
        <v>16</v>
      </c>
      <c r="B12" s="38"/>
      <c r="C12" s="50">
        <f ca="1">SLOPE(INDIRECT($G$11):G992,INDIRECT($F$11):F992)</f>
        <v>2.770995508704158E-6</v>
      </c>
      <c r="D12" s="6"/>
      <c r="E12" s="38"/>
    </row>
    <row r="13" spans="1:7" x14ac:dyDescent="0.2">
      <c r="A13" s="38" t="s">
        <v>19</v>
      </c>
      <c r="B13" s="38"/>
      <c r="C13" s="6" t="s">
        <v>13</v>
      </c>
      <c r="D13" s="6"/>
      <c r="E13" s="38"/>
    </row>
    <row r="14" spans="1:7" x14ac:dyDescent="0.2">
      <c r="A14" s="38"/>
      <c r="B14" s="38"/>
      <c r="C14" s="38"/>
      <c r="D14" s="38"/>
      <c r="E14" s="38"/>
    </row>
    <row r="15" spans="1:7" x14ac:dyDescent="0.2">
      <c r="A15" s="40" t="s">
        <v>17</v>
      </c>
      <c r="B15" s="38"/>
      <c r="C15" s="11">
        <f ca="1">(C7+C11)+(C8+C12)*INT(MAX(F21:F3533))</f>
        <v>55245.808748458818</v>
      </c>
      <c r="D15" s="41" t="s">
        <v>47</v>
      </c>
      <c r="E15" s="42">
        <f ca="1">TODAY()+15018.5-B9/24</f>
        <v>60338.5</v>
      </c>
    </row>
    <row r="16" spans="1:7" x14ac:dyDescent="0.2">
      <c r="A16" s="43" t="s">
        <v>4</v>
      </c>
      <c r="B16" s="38"/>
      <c r="C16" s="12">
        <f ca="1">+C8+C12</f>
        <v>0.42238277099550869</v>
      </c>
      <c r="D16" s="41" t="s">
        <v>48</v>
      </c>
      <c r="E16" s="42">
        <f ca="1">ROUND(2*(E15-C15)/C16,0)/2+1</f>
        <v>12058</v>
      </c>
    </row>
    <row r="17" spans="1:17" ht="13.5" thickBot="1" x14ac:dyDescent="0.25">
      <c r="A17" s="41" t="s">
        <v>31</v>
      </c>
      <c r="B17" s="38"/>
      <c r="C17" s="38">
        <f>COUNT(C21:C2191)</f>
        <v>13</v>
      </c>
      <c r="D17" s="41" t="s">
        <v>49</v>
      </c>
      <c r="E17" s="44">
        <f ca="1">+C15+C16*E16-15018.5-C9/24</f>
        <v>45320.066867789326</v>
      </c>
    </row>
    <row r="18" spans="1:17" ht="14.25" thickTop="1" thickBot="1" x14ac:dyDescent="0.25">
      <c r="A18" s="43" t="s">
        <v>5</v>
      </c>
      <c r="B18" s="38"/>
      <c r="C18" s="45">
        <f ca="1">+C15</f>
        <v>55245.808748458818</v>
      </c>
      <c r="D18" s="46">
        <f ca="1">+C16</f>
        <v>0.42238277099550869</v>
      </c>
      <c r="E18" s="47" t="s">
        <v>50</v>
      </c>
    </row>
    <row r="19" spans="1:17" ht="13.5" thickTop="1" x14ac:dyDescent="0.2">
      <c r="A19" s="52" t="s">
        <v>52</v>
      </c>
      <c r="E19" s="53">
        <v>21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38</v>
      </c>
      <c r="I20" s="10" t="s">
        <v>30</v>
      </c>
      <c r="J20" s="10" t="s">
        <v>18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14</v>
      </c>
    </row>
    <row r="21" spans="1:17" x14ac:dyDescent="0.2">
      <c r="A21" t="s">
        <v>41</v>
      </c>
      <c r="B21" s="6" t="s">
        <v>34</v>
      </c>
      <c r="C21" s="22">
        <v>50154.420599999998</v>
      </c>
      <c r="D21" s="6"/>
      <c r="E21">
        <f t="shared" ref="E21:E32" si="0">+(C21-C$7)/C$8</f>
        <v>-5844.9722998248108</v>
      </c>
      <c r="F21">
        <f t="shared" ref="F21:F33" si="1">ROUND(2*E21,0)/2</f>
        <v>-5845</v>
      </c>
      <c r="G21" s="24">
        <v>4.0000000000000002E-4</v>
      </c>
      <c r="I21">
        <f t="shared" ref="I21:I28" si="2">+G21</f>
        <v>4.0000000000000002E-4</v>
      </c>
      <c r="O21">
        <f t="shared" ref="O21:O32" ca="1" si="3">+C$11+C$12*$F21</f>
        <v>-2.0731210457929361E-3</v>
      </c>
      <c r="Q21" s="2">
        <f t="shared" ref="Q21:Q32" si="4">+C21-15018.5</f>
        <v>35135.920599999998</v>
      </c>
    </row>
    <row r="22" spans="1:17" x14ac:dyDescent="0.2">
      <c r="A22" t="s">
        <v>41</v>
      </c>
      <c r="B22" s="6" t="s">
        <v>34</v>
      </c>
      <c r="C22" s="22">
        <v>50159.4876</v>
      </c>
      <c r="D22" s="6"/>
      <c r="E22">
        <f t="shared" si="0"/>
        <v>-5832.9759931814979</v>
      </c>
      <c r="F22">
        <f t="shared" si="1"/>
        <v>-5833</v>
      </c>
      <c r="G22" s="24">
        <v>0</v>
      </c>
      <c r="I22">
        <f t="shared" si="2"/>
        <v>0</v>
      </c>
      <c r="O22">
        <f t="shared" ca="1" si="3"/>
        <v>-2.0398690996884863E-3</v>
      </c>
      <c r="Q22" s="2">
        <f t="shared" si="4"/>
        <v>35140.9876</v>
      </c>
    </row>
    <row r="23" spans="1:17" x14ac:dyDescent="0.2">
      <c r="A23" t="s">
        <v>41</v>
      </c>
      <c r="B23" s="6" t="s">
        <v>36</v>
      </c>
      <c r="C23" s="22">
        <v>50164.342600000004</v>
      </c>
      <c r="D23" s="6"/>
      <c r="E23">
        <f t="shared" si="0"/>
        <v>-5821.4816042426201</v>
      </c>
      <c r="F23">
        <f t="shared" si="1"/>
        <v>-5821.5</v>
      </c>
      <c r="G23" s="24">
        <v>-1.1000000000000001E-3</v>
      </c>
      <c r="I23">
        <f t="shared" si="2"/>
        <v>-1.1000000000000001E-3</v>
      </c>
      <c r="O23">
        <f t="shared" ca="1" si="3"/>
        <v>-2.0080026513383878E-3</v>
      </c>
      <c r="Q23" s="2">
        <f t="shared" si="4"/>
        <v>35145.842600000004</v>
      </c>
    </row>
    <row r="24" spans="1:17" x14ac:dyDescent="0.2">
      <c r="A24" t="s">
        <v>41</v>
      </c>
      <c r="B24" s="6" t="s">
        <v>34</v>
      </c>
      <c r="C24" s="22">
        <v>50165.399599999997</v>
      </c>
      <c r="D24" s="6"/>
      <c r="E24">
        <f t="shared" si="0"/>
        <v>-5818.9791183294765</v>
      </c>
      <c r="F24">
        <f t="shared" si="1"/>
        <v>-5819</v>
      </c>
      <c r="G24" s="24">
        <v>2.0000000000000001E-4</v>
      </c>
      <c r="I24">
        <f t="shared" si="2"/>
        <v>2.0000000000000001E-4</v>
      </c>
      <c r="O24">
        <f t="shared" ca="1" si="3"/>
        <v>-2.0010751625666283E-3</v>
      </c>
      <c r="Q24" s="2">
        <f t="shared" si="4"/>
        <v>35146.899599999997</v>
      </c>
    </row>
    <row r="25" spans="1:17" x14ac:dyDescent="0.2">
      <c r="A25" t="s">
        <v>41</v>
      </c>
      <c r="B25" s="6" t="s">
        <v>36</v>
      </c>
      <c r="C25" s="22">
        <v>50207.417399999998</v>
      </c>
      <c r="D25" s="6"/>
      <c r="E25">
        <f t="shared" si="0"/>
        <v>-5719.5004498319113</v>
      </c>
      <c r="F25">
        <f t="shared" si="1"/>
        <v>-5719.5</v>
      </c>
      <c r="G25" s="24">
        <v>1.6000000000000001E-3</v>
      </c>
      <c r="I25">
        <f t="shared" si="2"/>
        <v>1.6000000000000001E-3</v>
      </c>
      <c r="O25">
        <f t="shared" ca="1" si="3"/>
        <v>-1.7253611094505648E-3</v>
      </c>
      <c r="Q25" s="2">
        <f t="shared" si="4"/>
        <v>35188.917399999998</v>
      </c>
    </row>
    <row r="26" spans="1:17" x14ac:dyDescent="0.2">
      <c r="A26" t="s">
        <v>41</v>
      </c>
      <c r="B26" s="6" t="s">
        <v>36</v>
      </c>
      <c r="C26" s="22">
        <v>50218.394800000002</v>
      </c>
      <c r="D26" s="6"/>
      <c r="E26">
        <f t="shared" si="0"/>
        <v>-5693.5110563947146</v>
      </c>
      <c r="F26">
        <f t="shared" si="1"/>
        <v>-5693.5</v>
      </c>
      <c r="G26" s="24">
        <v>-1E-4</v>
      </c>
      <c r="I26">
        <f t="shared" si="2"/>
        <v>-1E-4</v>
      </c>
      <c r="O26">
        <f t="shared" ca="1" si="3"/>
        <v>-1.653315226224257E-3</v>
      </c>
      <c r="Q26" s="2">
        <f t="shared" si="4"/>
        <v>35199.894800000002</v>
      </c>
    </row>
    <row r="27" spans="1:17" x14ac:dyDescent="0.2">
      <c r="A27" t="s">
        <v>41</v>
      </c>
      <c r="B27" s="6" t="s">
        <v>36</v>
      </c>
      <c r="C27" s="22">
        <v>50226.417300000001</v>
      </c>
      <c r="D27" s="6"/>
      <c r="E27">
        <f t="shared" si="0"/>
        <v>-5674.5174960935656</v>
      </c>
      <c r="F27">
        <f t="shared" si="1"/>
        <v>-5674.5</v>
      </c>
      <c r="G27" s="24">
        <v>-8.9999999999999998E-4</v>
      </c>
      <c r="I27">
        <f t="shared" si="2"/>
        <v>-8.9999999999999998E-4</v>
      </c>
      <c r="O27">
        <f t="shared" ca="1" si="3"/>
        <v>-1.6006663115588765E-3</v>
      </c>
      <c r="Q27" s="2">
        <f t="shared" si="4"/>
        <v>35207.917300000001</v>
      </c>
    </row>
    <row r="28" spans="1:17" x14ac:dyDescent="0.2">
      <c r="A28" s="14" t="s">
        <v>33</v>
      </c>
      <c r="B28" s="15" t="s">
        <v>34</v>
      </c>
      <c r="C28" s="16">
        <v>52279.619400000003</v>
      </c>
      <c r="D28" s="16">
        <v>5.5999999999999999E-3</v>
      </c>
      <c r="E28">
        <f t="shared" si="0"/>
        <v>-813.4869075240257</v>
      </c>
      <c r="F28">
        <f t="shared" si="1"/>
        <v>-813.5</v>
      </c>
      <c r="G28">
        <f>+C28-(C$7+F28*C$8)</f>
        <v>5.5300000021816231E-3</v>
      </c>
      <c r="I28">
        <f t="shared" si="2"/>
        <v>5.5300000021816231E-3</v>
      </c>
      <c r="O28">
        <f t="shared" ca="1" si="3"/>
        <v>1.1869142856252035E-2</v>
      </c>
      <c r="Q28" s="2">
        <f t="shared" si="4"/>
        <v>37261.119400000003</v>
      </c>
    </row>
    <row r="29" spans="1:17" x14ac:dyDescent="0.2">
      <c r="A29" s="32" t="s">
        <v>38</v>
      </c>
      <c r="B29" s="34"/>
      <c r="C29" s="18">
        <v>52623.22</v>
      </c>
      <c r="D29" s="33"/>
      <c r="E29">
        <f t="shared" si="0"/>
        <v>0</v>
      </c>
      <c r="F29">
        <f t="shared" si="1"/>
        <v>0</v>
      </c>
      <c r="G29">
        <f>+C29-(C$7+F29*C$8)</f>
        <v>0</v>
      </c>
      <c r="H29" s="35">
        <f>G29</f>
        <v>0</v>
      </c>
      <c r="O29">
        <f t="shared" ca="1" si="3"/>
        <v>1.4123347702582868E-2</v>
      </c>
      <c r="Q29" s="2">
        <f t="shared" si="4"/>
        <v>37604.720000000001</v>
      </c>
    </row>
    <row r="30" spans="1:17" x14ac:dyDescent="0.2">
      <c r="A30" s="14" t="s">
        <v>35</v>
      </c>
      <c r="B30" s="17" t="s">
        <v>36</v>
      </c>
      <c r="C30" s="36">
        <v>52691.270499999999</v>
      </c>
      <c r="D30" s="18">
        <v>5.9999999999999995E-4</v>
      </c>
      <c r="E30">
        <f t="shared" si="0"/>
        <v>161.11203181968264</v>
      </c>
      <c r="F30">
        <f t="shared" si="1"/>
        <v>161</v>
      </c>
      <c r="I30" s="20">
        <v>4.7319999997853301E-2</v>
      </c>
      <c r="O30">
        <f t="shared" ca="1" si="3"/>
        <v>1.4569477979484238E-2</v>
      </c>
      <c r="Q30" s="2">
        <f t="shared" si="4"/>
        <v>37672.770499999999</v>
      </c>
    </row>
    <row r="31" spans="1:17" x14ac:dyDescent="0.2">
      <c r="A31" s="48" t="s">
        <v>51</v>
      </c>
      <c r="B31" s="49" t="s">
        <v>36</v>
      </c>
      <c r="C31" s="48">
        <v>54839.883699999998</v>
      </c>
      <c r="D31" s="48">
        <v>1.1000000000000001E-3</v>
      </c>
      <c r="E31">
        <f t="shared" si="0"/>
        <v>5248.0318670391534</v>
      </c>
      <c r="F31">
        <f t="shared" si="1"/>
        <v>5248</v>
      </c>
      <c r="G31">
        <f>+C31-(C$7+F31*C$8)</f>
        <v>1.345999999466585E-2</v>
      </c>
      <c r="I31">
        <f>+G31</f>
        <v>1.345999999466585E-2</v>
      </c>
      <c r="O31">
        <f t="shared" ca="1" si="3"/>
        <v>2.8665532132262292E-2</v>
      </c>
      <c r="Q31" s="2">
        <f t="shared" si="4"/>
        <v>39821.383699999998</v>
      </c>
    </row>
    <row r="32" spans="1:17" x14ac:dyDescent="0.2">
      <c r="A32" s="48" t="s">
        <v>51</v>
      </c>
      <c r="B32" s="49" t="s">
        <v>36</v>
      </c>
      <c r="C32" s="48">
        <v>54842.8436</v>
      </c>
      <c r="D32" s="48">
        <v>5.0000000000000001E-4</v>
      </c>
      <c r="E32">
        <f t="shared" si="0"/>
        <v>5255.0395378569037</v>
      </c>
      <c r="F32">
        <f t="shared" si="1"/>
        <v>5255</v>
      </c>
      <c r="G32">
        <f>+C32-(C$7+F32*C$8)</f>
        <v>1.6700000000128057E-2</v>
      </c>
      <c r="I32">
        <f>+G32</f>
        <v>1.6700000000128057E-2</v>
      </c>
      <c r="O32">
        <f t="shared" ca="1" si="3"/>
        <v>2.8684929100823219E-2</v>
      </c>
      <c r="Q32" s="2">
        <f t="shared" si="4"/>
        <v>39824.3436</v>
      </c>
    </row>
    <row r="33" spans="1:17" x14ac:dyDescent="0.2">
      <c r="A33" s="54" t="s">
        <v>53</v>
      </c>
      <c r="B33" s="55" t="s">
        <v>34</v>
      </c>
      <c r="C33" s="54">
        <v>55245.843200000003</v>
      </c>
      <c r="D33" s="54">
        <v>2.9999999999999997E-4</v>
      </c>
      <c r="E33">
        <f>+(C33-C$7)/C$8</f>
        <v>6209.1557365405606</v>
      </c>
      <c r="F33">
        <f t="shared" si="1"/>
        <v>6209</v>
      </c>
      <c r="G33">
        <f>+C33-(C$7+F33*C$8)</f>
        <v>6.5780000004451722E-2</v>
      </c>
      <c r="I33">
        <f>+G33</f>
        <v>6.5780000004451722E-2</v>
      </c>
      <c r="O33">
        <f ca="1">+C$11+C$12*$F33</f>
        <v>3.1328458816126989E-2</v>
      </c>
      <c r="Q33" s="2">
        <f>+C33-15018.5</f>
        <v>40227.343200000003</v>
      </c>
    </row>
    <row r="34" spans="1:17" x14ac:dyDescent="0.2">
      <c r="B34" s="6"/>
      <c r="C34" s="22"/>
      <c r="D34" s="22"/>
    </row>
    <row r="35" spans="1:17" x14ac:dyDescent="0.2">
      <c r="B35" s="6"/>
      <c r="C35" s="22"/>
      <c r="D35" s="22"/>
    </row>
    <row r="36" spans="1:17" x14ac:dyDescent="0.2">
      <c r="B36" s="6"/>
      <c r="C36" s="22"/>
      <c r="D36" s="22"/>
    </row>
    <row r="37" spans="1:17" x14ac:dyDescent="0.2">
      <c r="B37" s="6"/>
      <c r="C37" s="22"/>
      <c r="D37" s="22"/>
    </row>
    <row r="38" spans="1:17" x14ac:dyDescent="0.2">
      <c r="B38" s="6"/>
      <c r="C38" s="22"/>
      <c r="D38" s="22"/>
    </row>
    <row r="39" spans="1:17" x14ac:dyDescent="0.2">
      <c r="B39" s="6"/>
      <c r="C39" s="22"/>
      <c r="D39" s="22"/>
    </row>
    <row r="40" spans="1:17" x14ac:dyDescent="0.2">
      <c r="B40" s="6"/>
      <c r="C40" s="22"/>
      <c r="D40" s="22"/>
    </row>
    <row r="41" spans="1:17" x14ac:dyDescent="0.2">
      <c r="B41" s="6"/>
      <c r="C41" s="22"/>
      <c r="D41" s="22"/>
    </row>
    <row r="42" spans="1:17" x14ac:dyDescent="0.2">
      <c r="B42" s="6"/>
      <c r="C42" s="22"/>
      <c r="D42" s="22"/>
    </row>
    <row r="43" spans="1:17" x14ac:dyDescent="0.2">
      <c r="B43" s="6"/>
      <c r="C43" s="22"/>
      <c r="D43" s="22"/>
    </row>
    <row r="44" spans="1:17" x14ac:dyDescent="0.2">
      <c r="C44" s="22"/>
      <c r="D44" s="22"/>
    </row>
    <row r="45" spans="1:17" x14ac:dyDescent="0.2">
      <c r="C45" s="22"/>
      <c r="D45" s="22"/>
    </row>
    <row r="46" spans="1:17" x14ac:dyDescent="0.2">
      <c r="C46" s="22"/>
      <c r="D46" s="22"/>
    </row>
    <row r="47" spans="1:17" x14ac:dyDescent="0.2">
      <c r="C47" s="22"/>
      <c r="D47" s="22"/>
    </row>
    <row r="48" spans="1:17" x14ac:dyDescent="0.2">
      <c r="C48" s="22"/>
      <c r="D48" s="22"/>
    </row>
    <row r="49" spans="3:4" x14ac:dyDescent="0.2">
      <c r="C49" s="22"/>
      <c r="D49" s="22"/>
    </row>
    <row r="50" spans="3:4" x14ac:dyDescent="0.2">
      <c r="C50" s="22"/>
      <c r="D50" s="22"/>
    </row>
    <row r="51" spans="3:4" x14ac:dyDescent="0.2">
      <c r="C51" s="22"/>
      <c r="D51" s="22"/>
    </row>
    <row r="52" spans="3:4" x14ac:dyDescent="0.2">
      <c r="C52" s="22"/>
      <c r="D52" s="22"/>
    </row>
    <row r="53" spans="3:4" x14ac:dyDescent="0.2">
      <c r="C53" s="22"/>
      <c r="D53" s="22"/>
    </row>
    <row r="54" spans="3:4" x14ac:dyDescent="0.2">
      <c r="C54" s="22"/>
      <c r="D54" s="22"/>
    </row>
    <row r="55" spans="3:4" x14ac:dyDescent="0.2">
      <c r="C55" s="22"/>
      <c r="D55" s="22"/>
    </row>
    <row r="56" spans="3:4" x14ac:dyDescent="0.2">
      <c r="C56" s="22"/>
      <c r="D56" s="22"/>
    </row>
    <row r="57" spans="3:4" x14ac:dyDescent="0.2">
      <c r="C57" s="22"/>
      <c r="D57" s="22"/>
    </row>
    <row r="58" spans="3:4" x14ac:dyDescent="0.2">
      <c r="C58" s="22"/>
      <c r="D58" s="22"/>
    </row>
    <row r="59" spans="3:4" x14ac:dyDescent="0.2">
      <c r="C59" s="22"/>
      <c r="D59" s="22"/>
    </row>
    <row r="60" spans="3:4" x14ac:dyDescent="0.2">
      <c r="C60" s="22"/>
      <c r="D60" s="22"/>
    </row>
    <row r="61" spans="3:4" x14ac:dyDescent="0.2">
      <c r="C61" s="22"/>
      <c r="D61" s="22"/>
    </row>
    <row r="62" spans="3:4" x14ac:dyDescent="0.2">
      <c r="C62" s="22"/>
      <c r="D62" s="22"/>
    </row>
    <row r="63" spans="3:4" x14ac:dyDescent="0.2">
      <c r="C63" s="22"/>
      <c r="D63" s="22"/>
    </row>
    <row r="64" spans="3:4" x14ac:dyDescent="0.2">
      <c r="C64" s="22"/>
      <c r="D64" s="22"/>
    </row>
    <row r="65" spans="3:4" x14ac:dyDescent="0.2">
      <c r="C65" s="22"/>
      <c r="D65" s="22"/>
    </row>
    <row r="66" spans="3:4" x14ac:dyDescent="0.2">
      <c r="C66" s="22"/>
      <c r="D66" s="22"/>
    </row>
    <row r="67" spans="3:4" x14ac:dyDescent="0.2">
      <c r="C67" s="22"/>
      <c r="D67" s="22"/>
    </row>
    <row r="68" spans="3:4" x14ac:dyDescent="0.2">
      <c r="C68" s="22"/>
      <c r="D68" s="22"/>
    </row>
    <row r="69" spans="3:4" x14ac:dyDescent="0.2">
      <c r="C69" s="22"/>
      <c r="D69" s="22"/>
    </row>
    <row r="70" spans="3:4" x14ac:dyDescent="0.2">
      <c r="C70" s="22"/>
      <c r="D70" s="22"/>
    </row>
    <row r="71" spans="3:4" x14ac:dyDescent="0.2">
      <c r="C71" s="22"/>
      <c r="D71" s="22"/>
    </row>
    <row r="72" spans="3:4" x14ac:dyDescent="0.2">
      <c r="C72" s="22"/>
      <c r="D72" s="22"/>
    </row>
    <row r="73" spans="3:4" x14ac:dyDescent="0.2">
      <c r="C73" s="22"/>
      <c r="D73" s="22"/>
    </row>
    <row r="74" spans="3:4" x14ac:dyDescent="0.2">
      <c r="C74" s="22"/>
      <c r="D74" s="22"/>
    </row>
    <row r="75" spans="3:4" x14ac:dyDescent="0.2">
      <c r="C75" s="22"/>
      <c r="D75" s="22"/>
    </row>
    <row r="76" spans="3:4" x14ac:dyDescent="0.2">
      <c r="C76" s="22"/>
      <c r="D76" s="22"/>
    </row>
    <row r="77" spans="3:4" x14ac:dyDescent="0.2">
      <c r="C77" s="22"/>
      <c r="D77" s="22"/>
    </row>
    <row r="78" spans="3:4" x14ac:dyDescent="0.2">
      <c r="C78" s="22"/>
      <c r="D78" s="22"/>
    </row>
    <row r="79" spans="3:4" x14ac:dyDescent="0.2">
      <c r="C79" s="22"/>
      <c r="D79" s="22"/>
    </row>
    <row r="80" spans="3:4" x14ac:dyDescent="0.2">
      <c r="C80" s="22"/>
      <c r="D80" s="22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5"/>
  <sheetViews>
    <sheetView topLeftCell="A7" workbookViewId="0">
      <selection activeCell="A28" sqref="A28:D30"/>
    </sheetView>
  </sheetViews>
  <sheetFormatPr defaultRowHeight="12.75" x14ac:dyDescent="0.2"/>
  <cols>
    <col min="1" max="1" width="19.7109375" style="22" customWidth="1"/>
    <col min="2" max="2" width="4.42578125" style="38" customWidth="1"/>
    <col min="3" max="3" width="12.7109375" style="22" customWidth="1"/>
    <col min="4" max="4" width="5.42578125" style="38" customWidth="1"/>
    <col min="5" max="5" width="14.85546875" style="38" customWidth="1"/>
    <col min="6" max="6" width="9.140625" style="38"/>
    <col min="7" max="7" width="12" style="38" customWidth="1"/>
    <col min="8" max="8" width="14.140625" style="22" customWidth="1"/>
    <col min="9" max="9" width="22.5703125" style="38" customWidth="1"/>
    <col min="10" max="10" width="25.140625" style="38" customWidth="1"/>
    <col min="11" max="11" width="15.7109375" style="38" customWidth="1"/>
    <col min="12" max="12" width="14.140625" style="38" customWidth="1"/>
    <col min="13" max="13" width="9.5703125" style="38" customWidth="1"/>
    <col min="14" max="14" width="14.140625" style="38" customWidth="1"/>
    <col min="15" max="15" width="23.42578125" style="38" customWidth="1"/>
    <col min="16" max="16" width="16.5703125" style="38" customWidth="1"/>
    <col min="17" max="17" width="41" style="38" customWidth="1"/>
    <col min="18" max="16384" width="9.140625" style="38"/>
  </cols>
  <sheetData>
    <row r="1" spans="1:16" ht="15.75" x14ac:dyDescent="0.25">
      <c r="A1" s="59" t="s">
        <v>60</v>
      </c>
      <c r="I1" s="60" t="s">
        <v>61</v>
      </c>
      <c r="J1" s="61" t="s">
        <v>62</v>
      </c>
    </row>
    <row r="2" spans="1:16" x14ac:dyDescent="0.2">
      <c r="I2" s="62" t="s">
        <v>63</v>
      </c>
      <c r="J2" s="63" t="s">
        <v>64</v>
      </c>
    </row>
    <row r="3" spans="1:16" x14ac:dyDescent="0.2">
      <c r="A3" s="64" t="s">
        <v>65</v>
      </c>
      <c r="I3" s="62" t="s">
        <v>66</v>
      </c>
      <c r="J3" s="63" t="s">
        <v>67</v>
      </c>
    </row>
    <row r="4" spans="1:16" x14ac:dyDescent="0.2">
      <c r="I4" s="62" t="s">
        <v>68</v>
      </c>
      <c r="J4" s="63" t="s">
        <v>67</v>
      </c>
    </row>
    <row r="5" spans="1:16" ht="13.5" thickBot="1" x14ac:dyDescent="0.25">
      <c r="I5" s="65" t="s">
        <v>69</v>
      </c>
      <c r="J5" s="66" t="s">
        <v>70</v>
      </c>
    </row>
    <row r="10" spans="1:16" ht="13.5" thickBot="1" x14ac:dyDescent="0.25"/>
    <row r="11" spans="1:16" ht="12.75" customHeight="1" thickBot="1" x14ac:dyDescent="0.25">
      <c r="A11" s="22" t="str">
        <f t="shared" ref="A11:A30" si="0">P11</f>
        <v>IBVS 4393 </v>
      </c>
      <c r="B11" s="6" t="str">
        <f t="shared" ref="B11:B30" si="1">IF(H11=INT(H11),"I","II")</f>
        <v>II</v>
      </c>
      <c r="C11" s="22">
        <f t="shared" ref="C11:C30" si="2">1*G11</f>
        <v>50154.420599999998</v>
      </c>
      <c r="D11" s="38" t="str">
        <f t="shared" ref="D11:D30" si="3">VLOOKUP(F11,I$1:J$5,2,FALSE)</f>
        <v>vis</v>
      </c>
      <c r="E11" s="67">
        <f>VLOOKUP(C11,Active!C$21:E$973,3,FALSE)</f>
        <v>-5847.3534371684182</v>
      </c>
      <c r="F11" s="6" t="s">
        <v>69</v>
      </c>
      <c r="G11" s="38" t="str">
        <f t="shared" ref="G11:G30" si="4">MID(I11,3,LEN(I11)-3)</f>
        <v>50154.4206</v>
      </c>
      <c r="H11" s="22">
        <f t="shared" ref="H11:H30" si="5">1*K11</f>
        <v>-13022.5</v>
      </c>
      <c r="I11" s="68" t="s">
        <v>71</v>
      </c>
      <c r="J11" s="69" t="s">
        <v>72</v>
      </c>
      <c r="K11" s="68">
        <v>-13022.5</v>
      </c>
      <c r="L11" s="68" t="s">
        <v>73</v>
      </c>
      <c r="M11" s="69" t="s">
        <v>74</v>
      </c>
      <c r="N11" s="69" t="s">
        <v>75</v>
      </c>
      <c r="O11" s="70" t="s">
        <v>76</v>
      </c>
      <c r="P11" s="71" t="s">
        <v>77</v>
      </c>
    </row>
    <row r="12" spans="1:16" ht="12.75" customHeight="1" thickBot="1" x14ac:dyDescent="0.25">
      <c r="A12" s="22" t="str">
        <f t="shared" si="0"/>
        <v>IBVS 4393 </v>
      </c>
      <c r="B12" s="6" t="str">
        <f t="shared" si="1"/>
        <v>II</v>
      </c>
      <c r="C12" s="22">
        <f t="shared" si="2"/>
        <v>50159.4876</v>
      </c>
      <c r="D12" s="38" t="str">
        <f t="shared" si="3"/>
        <v>vis</v>
      </c>
      <c r="E12" s="67">
        <f>VLOOKUP(C12,Active!C$21:E$973,3,FALSE)</f>
        <v>-5835.352243443991</v>
      </c>
      <c r="F12" s="6" t="s">
        <v>69</v>
      </c>
      <c r="G12" s="38" t="str">
        <f t="shared" si="4"/>
        <v>50159.4876</v>
      </c>
      <c r="H12" s="22">
        <f t="shared" si="5"/>
        <v>-13010.5</v>
      </c>
      <c r="I12" s="68" t="s">
        <v>78</v>
      </c>
      <c r="J12" s="69" t="s">
        <v>79</v>
      </c>
      <c r="K12" s="68">
        <v>-13010.5</v>
      </c>
      <c r="L12" s="68" t="s">
        <v>80</v>
      </c>
      <c r="M12" s="69" t="s">
        <v>74</v>
      </c>
      <c r="N12" s="69" t="s">
        <v>75</v>
      </c>
      <c r="O12" s="70" t="s">
        <v>76</v>
      </c>
      <c r="P12" s="71" t="s">
        <v>77</v>
      </c>
    </row>
    <row r="13" spans="1:16" ht="12.75" customHeight="1" thickBot="1" x14ac:dyDescent="0.25">
      <c r="A13" s="22" t="str">
        <f t="shared" si="0"/>
        <v>IBVS 4393 </v>
      </c>
      <c r="B13" s="6" t="str">
        <f t="shared" si="1"/>
        <v>I</v>
      </c>
      <c r="C13" s="22">
        <f t="shared" si="2"/>
        <v>50164.342600000004</v>
      </c>
      <c r="D13" s="38" t="str">
        <f t="shared" si="3"/>
        <v>vis</v>
      </c>
      <c r="E13" s="67">
        <f>VLOOKUP(C13,Active!C$21:E$973,3,FALSE)</f>
        <v>-5823.8531718963104</v>
      </c>
      <c r="F13" s="6" t="s">
        <v>69</v>
      </c>
      <c r="G13" s="38" t="str">
        <f t="shared" si="4"/>
        <v>50164.3426</v>
      </c>
      <c r="H13" s="22">
        <f t="shared" si="5"/>
        <v>-12999</v>
      </c>
      <c r="I13" s="68" t="s">
        <v>81</v>
      </c>
      <c r="J13" s="69" t="s">
        <v>82</v>
      </c>
      <c r="K13" s="68">
        <v>-12999</v>
      </c>
      <c r="L13" s="68" t="s">
        <v>83</v>
      </c>
      <c r="M13" s="69" t="s">
        <v>74</v>
      </c>
      <c r="N13" s="69" t="s">
        <v>75</v>
      </c>
      <c r="O13" s="70" t="s">
        <v>76</v>
      </c>
      <c r="P13" s="71" t="s">
        <v>77</v>
      </c>
    </row>
    <row r="14" spans="1:16" ht="12.75" customHeight="1" thickBot="1" x14ac:dyDescent="0.25">
      <c r="A14" s="22" t="str">
        <f t="shared" si="0"/>
        <v>IBVS 4393 </v>
      </c>
      <c r="B14" s="6" t="str">
        <f t="shared" si="1"/>
        <v>II</v>
      </c>
      <c r="C14" s="22">
        <f t="shared" si="2"/>
        <v>50165.399599999997</v>
      </c>
      <c r="D14" s="38" t="str">
        <f t="shared" si="3"/>
        <v>vis</v>
      </c>
      <c r="E14" s="67">
        <f>VLOOKUP(C14,Active!C$21:E$973,3,FALSE)</f>
        <v>-5821.3496665150924</v>
      </c>
      <c r="F14" s="6" t="s">
        <v>69</v>
      </c>
      <c r="G14" s="38" t="str">
        <f t="shared" si="4"/>
        <v>50165.3996</v>
      </c>
      <c r="H14" s="22">
        <f t="shared" si="5"/>
        <v>-12996.5</v>
      </c>
      <c r="I14" s="68" t="s">
        <v>84</v>
      </c>
      <c r="J14" s="69" t="s">
        <v>85</v>
      </c>
      <c r="K14" s="68">
        <v>-12996.5</v>
      </c>
      <c r="L14" s="68" t="s">
        <v>86</v>
      </c>
      <c r="M14" s="69" t="s">
        <v>74</v>
      </c>
      <c r="N14" s="69" t="s">
        <v>75</v>
      </c>
      <c r="O14" s="70" t="s">
        <v>76</v>
      </c>
      <c r="P14" s="71" t="s">
        <v>77</v>
      </c>
    </row>
    <row r="15" spans="1:16" ht="12.75" customHeight="1" thickBot="1" x14ac:dyDescent="0.25">
      <c r="A15" s="22" t="str">
        <f t="shared" si="0"/>
        <v>IBVS 4393 </v>
      </c>
      <c r="B15" s="6" t="str">
        <f t="shared" si="1"/>
        <v>I</v>
      </c>
      <c r="C15" s="22">
        <f t="shared" si="2"/>
        <v>50207.417399999998</v>
      </c>
      <c r="D15" s="38" t="str">
        <f t="shared" si="3"/>
        <v>vis</v>
      </c>
      <c r="E15" s="67">
        <f>VLOOKUP(C15,Active!C$21:E$973,3,FALSE)</f>
        <v>-5721.8304721843324</v>
      </c>
      <c r="F15" s="6" t="s">
        <v>69</v>
      </c>
      <c r="G15" s="38" t="str">
        <f t="shared" si="4"/>
        <v>50207.4174</v>
      </c>
      <c r="H15" s="22">
        <f t="shared" si="5"/>
        <v>-12897</v>
      </c>
      <c r="I15" s="68" t="s">
        <v>87</v>
      </c>
      <c r="J15" s="69" t="s">
        <v>88</v>
      </c>
      <c r="K15" s="68">
        <v>-12897</v>
      </c>
      <c r="L15" s="68" t="s">
        <v>89</v>
      </c>
      <c r="M15" s="69" t="s">
        <v>74</v>
      </c>
      <c r="N15" s="69" t="s">
        <v>75</v>
      </c>
      <c r="O15" s="70" t="s">
        <v>76</v>
      </c>
      <c r="P15" s="71" t="s">
        <v>77</v>
      </c>
    </row>
    <row r="16" spans="1:16" ht="12.75" customHeight="1" thickBot="1" x14ac:dyDescent="0.25">
      <c r="A16" s="22" t="str">
        <f t="shared" si="0"/>
        <v>IBVS 4393 </v>
      </c>
      <c r="B16" s="6" t="str">
        <f t="shared" si="1"/>
        <v>I</v>
      </c>
      <c r="C16" s="22">
        <f t="shared" si="2"/>
        <v>50218.394800000002</v>
      </c>
      <c r="D16" s="38" t="str">
        <f t="shared" si="3"/>
        <v>vis</v>
      </c>
      <c r="E16" s="67">
        <f>VLOOKUP(C16,Active!C$21:E$973,3,FALSE)</f>
        <v>-5695.8304911323312</v>
      </c>
      <c r="F16" s="6" t="s">
        <v>69</v>
      </c>
      <c r="G16" s="38" t="str">
        <f t="shared" si="4"/>
        <v>50218.3948</v>
      </c>
      <c r="H16" s="22">
        <f t="shared" si="5"/>
        <v>-12871</v>
      </c>
      <c r="I16" s="68" t="s">
        <v>90</v>
      </c>
      <c r="J16" s="69" t="s">
        <v>91</v>
      </c>
      <c r="K16" s="68">
        <v>-12871</v>
      </c>
      <c r="L16" s="68" t="s">
        <v>89</v>
      </c>
      <c r="M16" s="69" t="s">
        <v>74</v>
      </c>
      <c r="N16" s="69" t="s">
        <v>75</v>
      </c>
      <c r="O16" s="70" t="s">
        <v>76</v>
      </c>
      <c r="P16" s="71" t="s">
        <v>77</v>
      </c>
    </row>
    <row r="17" spans="1:16" ht="12.75" customHeight="1" thickBot="1" x14ac:dyDescent="0.25">
      <c r="A17" s="22" t="str">
        <f t="shared" si="0"/>
        <v>IBVS 4393 </v>
      </c>
      <c r="B17" s="6" t="str">
        <f t="shared" si="1"/>
        <v>I</v>
      </c>
      <c r="C17" s="22">
        <f t="shared" si="2"/>
        <v>50226.417300000001</v>
      </c>
      <c r="D17" s="38" t="str">
        <f t="shared" si="3"/>
        <v>vis</v>
      </c>
      <c r="E17" s="67">
        <f>VLOOKUP(C17,Active!C$21:E$973,3,FALSE)</f>
        <v>-5676.8291931938757</v>
      </c>
      <c r="F17" s="6" t="s">
        <v>69</v>
      </c>
      <c r="G17" s="38" t="str">
        <f t="shared" si="4"/>
        <v>50226.4173</v>
      </c>
      <c r="H17" s="22">
        <f t="shared" si="5"/>
        <v>-12852</v>
      </c>
      <c r="I17" s="68" t="s">
        <v>92</v>
      </c>
      <c r="J17" s="69" t="s">
        <v>93</v>
      </c>
      <c r="K17" s="68">
        <v>-12852</v>
      </c>
      <c r="L17" s="68" t="s">
        <v>94</v>
      </c>
      <c r="M17" s="69" t="s">
        <v>74</v>
      </c>
      <c r="N17" s="69" t="s">
        <v>75</v>
      </c>
      <c r="O17" s="70" t="s">
        <v>76</v>
      </c>
      <c r="P17" s="71" t="s">
        <v>77</v>
      </c>
    </row>
    <row r="18" spans="1:16" ht="12.75" customHeight="1" thickBot="1" x14ac:dyDescent="0.25">
      <c r="A18" s="22" t="str">
        <f t="shared" si="0"/>
        <v>IBVS 5583 </v>
      </c>
      <c r="B18" s="6" t="str">
        <f t="shared" si="1"/>
        <v>I</v>
      </c>
      <c r="C18" s="22">
        <f t="shared" si="2"/>
        <v>52279.619400000003</v>
      </c>
      <c r="D18" s="38" t="str">
        <f t="shared" si="3"/>
        <v>vis</v>
      </c>
      <c r="E18" s="67">
        <f>VLOOKUP(C18,Active!C$21:E$973,3,FALSE)</f>
        <v>-813.81830756403929</v>
      </c>
      <c r="F18" s="6" t="s">
        <v>69</v>
      </c>
      <c r="G18" s="38" t="str">
        <f t="shared" si="4"/>
        <v>52279.6194</v>
      </c>
      <c r="H18" s="22">
        <f t="shared" si="5"/>
        <v>-7989</v>
      </c>
      <c r="I18" s="68" t="s">
        <v>104</v>
      </c>
      <c r="J18" s="69" t="s">
        <v>105</v>
      </c>
      <c r="K18" s="68">
        <v>-7989</v>
      </c>
      <c r="L18" s="68" t="s">
        <v>106</v>
      </c>
      <c r="M18" s="69" t="s">
        <v>74</v>
      </c>
      <c r="N18" s="69" t="s">
        <v>75</v>
      </c>
      <c r="O18" s="70" t="s">
        <v>107</v>
      </c>
      <c r="P18" s="71" t="s">
        <v>108</v>
      </c>
    </row>
    <row r="19" spans="1:16" ht="12.75" customHeight="1" thickBot="1" x14ac:dyDescent="0.25">
      <c r="A19" s="22" t="str">
        <f t="shared" si="0"/>
        <v> BBS 129 </v>
      </c>
      <c r="B19" s="6" t="str">
        <f t="shared" si="1"/>
        <v>I</v>
      </c>
      <c r="C19" s="22">
        <f t="shared" si="2"/>
        <v>52691.270499999999</v>
      </c>
      <c r="D19" s="38" t="str">
        <f t="shared" si="3"/>
        <v>vis</v>
      </c>
      <c r="E19" s="67">
        <f>VLOOKUP(C19,Active!C$21:E$973,3,FALSE)</f>
        <v>161.17766598453264</v>
      </c>
      <c r="F19" s="6" t="s">
        <v>69</v>
      </c>
      <c r="G19" s="38" t="str">
        <f t="shared" si="4"/>
        <v>52691.2705</v>
      </c>
      <c r="H19" s="22">
        <f t="shared" si="5"/>
        <v>-7014</v>
      </c>
      <c r="I19" s="68" t="s">
        <v>113</v>
      </c>
      <c r="J19" s="69" t="s">
        <v>114</v>
      </c>
      <c r="K19" s="68">
        <v>-7014</v>
      </c>
      <c r="L19" s="68" t="s">
        <v>94</v>
      </c>
      <c r="M19" s="69" t="s">
        <v>74</v>
      </c>
      <c r="N19" s="69" t="s">
        <v>75</v>
      </c>
      <c r="O19" s="70" t="s">
        <v>115</v>
      </c>
      <c r="P19" s="70" t="s">
        <v>116</v>
      </c>
    </row>
    <row r="20" spans="1:16" ht="12.75" customHeight="1" thickBot="1" x14ac:dyDescent="0.25">
      <c r="A20" s="22" t="str">
        <f t="shared" si="0"/>
        <v>OEJV 0003 </v>
      </c>
      <c r="B20" s="6" t="str">
        <f t="shared" si="1"/>
        <v>II</v>
      </c>
      <c r="C20" s="22">
        <f t="shared" si="2"/>
        <v>53325.631000000001</v>
      </c>
      <c r="D20" s="38" t="str">
        <f t="shared" si="3"/>
        <v>vis</v>
      </c>
      <c r="E20" s="67">
        <f>VLOOKUP(C20,Active!C$21:E$973,3,FALSE)</f>
        <v>1663.6610391086858</v>
      </c>
      <c r="F20" s="6" t="s">
        <v>69</v>
      </c>
      <c r="G20" s="38" t="str">
        <f t="shared" si="4"/>
        <v>53325.631</v>
      </c>
      <c r="H20" s="22">
        <f t="shared" si="5"/>
        <v>-5511.5</v>
      </c>
      <c r="I20" s="68" t="s">
        <v>117</v>
      </c>
      <c r="J20" s="69" t="s">
        <v>118</v>
      </c>
      <c r="K20" s="68">
        <v>-5511.5</v>
      </c>
      <c r="L20" s="68" t="s">
        <v>119</v>
      </c>
      <c r="M20" s="69" t="s">
        <v>120</v>
      </c>
      <c r="N20" s="69"/>
      <c r="O20" s="70" t="s">
        <v>121</v>
      </c>
      <c r="P20" s="71" t="s">
        <v>122</v>
      </c>
    </row>
    <row r="21" spans="1:16" ht="12.75" customHeight="1" thickBot="1" x14ac:dyDescent="0.25">
      <c r="A21" s="22" t="str">
        <f t="shared" si="0"/>
        <v>IBVS 5894 </v>
      </c>
      <c r="B21" s="6" t="str">
        <f t="shared" si="1"/>
        <v>I</v>
      </c>
      <c r="C21" s="22">
        <f t="shared" si="2"/>
        <v>54839.883699999998</v>
      </c>
      <c r="D21" s="38" t="str">
        <f t="shared" si="3"/>
        <v>vis</v>
      </c>
      <c r="E21" s="67">
        <f>VLOOKUP(C21,Active!C$21:E$973,3,FALSE)</f>
        <v>5250.1698215097704</v>
      </c>
      <c r="F21" s="6" t="s">
        <v>69</v>
      </c>
      <c r="G21" s="38" t="str">
        <f t="shared" si="4"/>
        <v>54839.8837</v>
      </c>
      <c r="H21" s="22">
        <f t="shared" si="5"/>
        <v>-1925</v>
      </c>
      <c r="I21" s="68" t="s">
        <v>123</v>
      </c>
      <c r="J21" s="69" t="s">
        <v>124</v>
      </c>
      <c r="K21" s="68">
        <v>-1925</v>
      </c>
      <c r="L21" s="68" t="s">
        <v>125</v>
      </c>
      <c r="M21" s="69" t="s">
        <v>126</v>
      </c>
      <c r="N21" s="69" t="s">
        <v>69</v>
      </c>
      <c r="O21" s="70" t="s">
        <v>98</v>
      </c>
      <c r="P21" s="71" t="s">
        <v>127</v>
      </c>
    </row>
    <row r="22" spans="1:16" ht="12.75" customHeight="1" thickBot="1" x14ac:dyDescent="0.25">
      <c r="A22" s="22" t="str">
        <f t="shared" si="0"/>
        <v>IBVS 5894 </v>
      </c>
      <c r="B22" s="6" t="str">
        <f t="shared" si="1"/>
        <v>I</v>
      </c>
      <c r="C22" s="22">
        <f t="shared" si="2"/>
        <v>54842.8436</v>
      </c>
      <c r="D22" s="38" t="str">
        <f t="shared" si="3"/>
        <v>vis</v>
      </c>
      <c r="E22" s="67">
        <f>VLOOKUP(C22,Active!C$21:E$973,3,FALSE)</f>
        <v>5257.1803471274798</v>
      </c>
      <c r="F22" s="6" t="s">
        <v>69</v>
      </c>
      <c r="G22" s="38" t="str">
        <f t="shared" si="4"/>
        <v>54842.8436</v>
      </c>
      <c r="H22" s="22">
        <f t="shared" si="5"/>
        <v>-1918</v>
      </c>
      <c r="I22" s="68" t="s">
        <v>128</v>
      </c>
      <c r="J22" s="69" t="s">
        <v>129</v>
      </c>
      <c r="K22" s="68">
        <v>-1918</v>
      </c>
      <c r="L22" s="68" t="s">
        <v>130</v>
      </c>
      <c r="M22" s="69" t="s">
        <v>126</v>
      </c>
      <c r="N22" s="69" t="s">
        <v>69</v>
      </c>
      <c r="O22" s="70" t="s">
        <v>98</v>
      </c>
      <c r="P22" s="71" t="s">
        <v>127</v>
      </c>
    </row>
    <row r="23" spans="1:16" ht="12.75" customHeight="1" thickBot="1" x14ac:dyDescent="0.25">
      <c r="A23" s="22" t="str">
        <f t="shared" si="0"/>
        <v>IBVS 5945 </v>
      </c>
      <c r="B23" s="6" t="str">
        <f t="shared" si="1"/>
        <v>II</v>
      </c>
      <c r="C23" s="22">
        <f t="shared" si="2"/>
        <v>55245.843200000003</v>
      </c>
      <c r="D23" s="38" t="str">
        <f t="shared" si="3"/>
        <v>vis</v>
      </c>
      <c r="E23" s="67">
        <f>VLOOKUP(C23,Active!C$21:E$973,3,FALSE)</f>
        <v>6211.6852357132066</v>
      </c>
      <c r="F23" s="6" t="s">
        <v>69</v>
      </c>
      <c r="G23" s="38" t="str">
        <f t="shared" si="4"/>
        <v>55245.8432</v>
      </c>
      <c r="H23" s="22">
        <f t="shared" si="5"/>
        <v>-963.5</v>
      </c>
      <c r="I23" s="68" t="s">
        <v>131</v>
      </c>
      <c r="J23" s="69" t="s">
        <v>132</v>
      </c>
      <c r="K23" s="68">
        <v>-963.5</v>
      </c>
      <c r="L23" s="68" t="s">
        <v>133</v>
      </c>
      <c r="M23" s="69" t="s">
        <v>126</v>
      </c>
      <c r="N23" s="69" t="s">
        <v>69</v>
      </c>
      <c r="O23" s="70" t="s">
        <v>98</v>
      </c>
      <c r="P23" s="71" t="s">
        <v>134</v>
      </c>
    </row>
    <row r="24" spans="1:16" ht="12.75" customHeight="1" thickBot="1" x14ac:dyDescent="0.25">
      <c r="A24" s="22" t="str">
        <f t="shared" si="0"/>
        <v>BAVM 214 </v>
      </c>
      <c r="B24" s="6" t="str">
        <f t="shared" si="1"/>
        <v>II</v>
      </c>
      <c r="C24" s="22">
        <f t="shared" si="2"/>
        <v>55275.397900000004</v>
      </c>
      <c r="D24" s="38" t="str">
        <f t="shared" si="3"/>
        <v>vis</v>
      </c>
      <c r="E24" s="67">
        <f>VLOOKUP(C24,Active!C$21:E$973,3,FALSE)</f>
        <v>6281.6855673033251</v>
      </c>
      <c r="F24" s="6" t="s">
        <v>69</v>
      </c>
      <c r="G24" s="38" t="str">
        <f t="shared" si="4"/>
        <v>55275.3979</v>
      </c>
      <c r="H24" s="22">
        <f t="shared" si="5"/>
        <v>-893.5</v>
      </c>
      <c r="I24" s="68" t="s">
        <v>135</v>
      </c>
      <c r="J24" s="69" t="s">
        <v>136</v>
      </c>
      <c r="K24" s="68">
        <v>-893.5</v>
      </c>
      <c r="L24" s="68" t="s">
        <v>137</v>
      </c>
      <c r="M24" s="69" t="s">
        <v>126</v>
      </c>
      <c r="N24" s="69" t="s">
        <v>138</v>
      </c>
      <c r="O24" s="70" t="s">
        <v>139</v>
      </c>
      <c r="P24" s="71" t="s">
        <v>140</v>
      </c>
    </row>
    <row r="25" spans="1:16" ht="12.75" customHeight="1" thickBot="1" x14ac:dyDescent="0.25">
      <c r="A25" s="22" t="str">
        <f t="shared" si="0"/>
        <v>IBVS 5992 </v>
      </c>
      <c r="B25" s="6" t="str">
        <f t="shared" si="1"/>
        <v>I</v>
      </c>
      <c r="C25" s="22">
        <f t="shared" si="2"/>
        <v>55577.910400000001</v>
      </c>
      <c r="D25" s="38" t="str">
        <f t="shared" si="3"/>
        <v>vis</v>
      </c>
      <c r="E25" s="67">
        <f>VLOOKUP(C25,Active!C$21:E$973,3,FALSE)</f>
        <v>6998.1866757617081</v>
      </c>
      <c r="F25" s="6" t="s">
        <v>69</v>
      </c>
      <c r="G25" s="38" t="str">
        <f t="shared" si="4"/>
        <v>55577.9104</v>
      </c>
      <c r="H25" s="22">
        <f t="shared" si="5"/>
        <v>-177</v>
      </c>
      <c r="I25" s="68" t="s">
        <v>141</v>
      </c>
      <c r="J25" s="69" t="s">
        <v>142</v>
      </c>
      <c r="K25" s="68" t="s">
        <v>143</v>
      </c>
      <c r="L25" s="68" t="s">
        <v>144</v>
      </c>
      <c r="M25" s="69" t="s">
        <v>126</v>
      </c>
      <c r="N25" s="69" t="s">
        <v>69</v>
      </c>
      <c r="O25" s="70" t="s">
        <v>98</v>
      </c>
      <c r="P25" s="71" t="s">
        <v>145</v>
      </c>
    </row>
    <row r="26" spans="1:16" ht="12.75" customHeight="1" thickBot="1" x14ac:dyDescent="0.25">
      <c r="A26" s="22" t="str">
        <f t="shared" si="0"/>
        <v>IBVS 5992 </v>
      </c>
      <c r="B26" s="6" t="str">
        <f t="shared" si="1"/>
        <v>I</v>
      </c>
      <c r="C26" s="22">
        <f t="shared" si="2"/>
        <v>55652.640599999999</v>
      </c>
      <c r="D26" s="38" t="str">
        <f t="shared" si="3"/>
        <v>vis</v>
      </c>
      <c r="E26" s="67">
        <f>VLOOKUP(C26,Active!C$21:E$973,3,FALSE)</f>
        <v>7175.1852167651905</v>
      </c>
      <c r="F26" s="6" t="s">
        <v>69</v>
      </c>
      <c r="G26" s="38" t="str">
        <f t="shared" si="4"/>
        <v>55652.6406</v>
      </c>
      <c r="H26" s="22">
        <f t="shared" si="5"/>
        <v>0</v>
      </c>
      <c r="I26" s="68" t="s">
        <v>146</v>
      </c>
      <c r="J26" s="69" t="s">
        <v>147</v>
      </c>
      <c r="K26" s="68" t="s">
        <v>148</v>
      </c>
      <c r="L26" s="68" t="s">
        <v>149</v>
      </c>
      <c r="M26" s="69" t="s">
        <v>126</v>
      </c>
      <c r="N26" s="69" t="s">
        <v>69</v>
      </c>
      <c r="O26" s="70" t="s">
        <v>98</v>
      </c>
      <c r="P26" s="71" t="s">
        <v>145</v>
      </c>
    </row>
    <row r="27" spans="1:16" ht="12.75" customHeight="1" thickBot="1" x14ac:dyDescent="0.25">
      <c r="A27" s="22" t="str">
        <f t="shared" si="0"/>
        <v>IBVS 6029 </v>
      </c>
      <c r="B27" s="6" t="str">
        <f t="shared" si="1"/>
        <v>I</v>
      </c>
      <c r="C27" s="22">
        <f t="shared" si="2"/>
        <v>56002.648999999998</v>
      </c>
      <c r="D27" s="38" t="str">
        <f t="shared" si="3"/>
        <v>vis</v>
      </c>
      <c r="E27" s="67">
        <f>VLOOKUP(C27,Active!C$21:E$973,3,FALSE)</f>
        <v>8004.1804039714934</v>
      </c>
      <c r="F27" s="6" t="s">
        <v>69</v>
      </c>
      <c r="G27" s="38" t="str">
        <f t="shared" si="4"/>
        <v>56002.6490</v>
      </c>
      <c r="H27" s="22">
        <f t="shared" si="5"/>
        <v>829</v>
      </c>
      <c r="I27" s="68" t="s">
        <v>150</v>
      </c>
      <c r="J27" s="69" t="s">
        <v>151</v>
      </c>
      <c r="K27" s="68" t="s">
        <v>152</v>
      </c>
      <c r="L27" s="68" t="s">
        <v>153</v>
      </c>
      <c r="M27" s="69" t="s">
        <v>126</v>
      </c>
      <c r="N27" s="69" t="s">
        <v>69</v>
      </c>
      <c r="O27" s="70" t="s">
        <v>98</v>
      </c>
      <c r="P27" s="71" t="s">
        <v>154</v>
      </c>
    </row>
    <row r="28" spans="1:16" ht="12.75" customHeight="1" thickBot="1" x14ac:dyDescent="0.25">
      <c r="A28" s="22" t="str">
        <f t="shared" si="0"/>
        <v> BBS 119 </v>
      </c>
      <c r="B28" s="6" t="str">
        <f t="shared" si="1"/>
        <v>I</v>
      </c>
      <c r="C28" s="22">
        <f t="shared" si="2"/>
        <v>51199.608</v>
      </c>
      <c r="D28" s="38" t="str">
        <f t="shared" si="3"/>
        <v>vis</v>
      </c>
      <c r="E28" s="67">
        <f>VLOOKUP(C28,Active!C$21:E$973,3,FALSE)</f>
        <v>-3371.8262088828278</v>
      </c>
      <c r="F28" s="6" t="s">
        <v>69</v>
      </c>
      <c r="G28" s="38" t="str">
        <f t="shared" si="4"/>
        <v>51199.608</v>
      </c>
      <c r="H28" s="22">
        <f t="shared" si="5"/>
        <v>-10547</v>
      </c>
      <c r="I28" s="68" t="s">
        <v>95</v>
      </c>
      <c r="J28" s="69" t="s">
        <v>96</v>
      </c>
      <c r="K28" s="68">
        <v>-10547</v>
      </c>
      <c r="L28" s="68" t="s">
        <v>97</v>
      </c>
      <c r="M28" s="69" t="s">
        <v>74</v>
      </c>
      <c r="N28" s="69" t="s">
        <v>75</v>
      </c>
      <c r="O28" s="70" t="s">
        <v>98</v>
      </c>
      <c r="P28" s="70" t="s">
        <v>99</v>
      </c>
    </row>
    <row r="29" spans="1:16" ht="12.75" customHeight="1" thickBot="1" x14ac:dyDescent="0.25">
      <c r="A29" s="22" t="str">
        <f t="shared" si="0"/>
        <v> BBS 125 </v>
      </c>
      <c r="B29" s="6" t="str">
        <f t="shared" si="1"/>
        <v>I</v>
      </c>
      <c r="C29" s="22">
        <f t="shared" si="2"/>
        <v>51984.493999999999</v>
      </c>
      <c r="D29" s="38" t="str">
        <f t="shared" si="3"/>
        <v>vis</v>
      </c>
      <c r="E29" s="67">
        <f>VLOOKUP(C29,Active!C$21:E$973,3,FALSE)</f>
        <v>-1512.8230635137238</v>
      </c>
      <c r="F29" s="6" t="s">
        <v>69</v>
      </c>
      <c r="G29" s="38" t="str">
        <f t="shared" si="4"/>
        <v>51984.494</v>
      </c>
      <c r="H29" s="22">
        <f t="shared" si="5"/>
        <v>-8688</v>
      </c>
      <c r="I29" s="68" t="s">
        <v>100</v>
      </c>
      <c r="J29" s="69" t="s">
        <v>101</v>
      </c>
      <c r="K29" s="68">
        <v>-8688</v>
      </c>
      <c r="L29" s="68" t="s">
        <v>102</v>
      </c>
      <c r="M29" s="69" t="s">
        <v>74</v>
      </c>
      <c r="N29" s="69" t="s">
        <v>75</v>
      </c>
      <c r="O29" s="70" t="s">
        <v>98</v>
      </c>
      <c r="P29" s="70" t="s">
        <v>103</v>
      </c>
    </row>
    <row r="30" spans="1:16" ht="12.75" customHeight="1" thickBot="1" x14ac:dyDescent="0.25">
      <c r="A30" s="22" t="str">
        <f t="shared" si="0"/>
        <v> BBS 128 </v>
      </c>
      <c r="B30" s="6" t="str">
        <f t="shared" si="1"/>
        <v>I</v>
      </c>
      <c r="C30" s="22">
        <f t="shared" si="2"/>
        <v>52362.37</v>
      </c>
      <c r="D30" s="38" t="str">
        <f t="shared" si="3"/>
        <v>vis</v>
      </c>
      <c r="E30" s="67">
        <f>VLOOKUP(C30,Active!C$21:E$973,3,FALSE)</f>
        <v>-617.82344247384822</v>
      </c>
      <c r="F30" s="6" t="s">
        <v>69</v>
      </c>
      <c r="G30" s="38" t="str">
        <f t="shared" si="4"/>
        <v>52362.3700</v>
      </c>
      <c r="H30" s="22">
        <f t="shared" si="5"/>
        <v>-7793</v>
      </c>
      <c r="I30" s="68" t="s">
        <v>109</v>
      </c>
      <c r="J30" s="69" t="s">
        <v>110</v>
      </c>
      <c r="K30" s="68">
        <v>-7793</v>
      </c>
      <c r="L30" s="68" t="s">
        <v>111</v>
      </c>
      <c r="M30" s="69" t="s">
        <v>74</v>
      </c>
      <c r="N30" s="69" t="s">
        <v>75</v>
      </c>
      <c r="O30" s="70" t="s">
        <v>98</v>
      </c>
      <c r="P30" s="70" t="s">
        <v>112</v>
      </c>
    </row>
    <row r="31" spans="1:16" x14ac:dyDescent="0.2">
      <c r="B31" s="6"/>
      <c r="F31" s="6"/>
    </row>
    <row r="32" spans="1:16" x14ac:dyDescent="0.2">
      <c r="B32" s="6"/>
      <c r="F32" s="6"/>
    </row>
    <row r="33" spans="2:6" x14ac:dyDescent="0.2">
      <c r="B33" s="6"/>
      <c r="F33" s="6"/>
    </row>
    <row r="34" spans="2:6" x14ac:dyDescent="0.2">
      <c r="B34" s="6"/>
      <c r="F34" s="6"/>
    </row>
    <row r="35" spans="2:6" x14ac:dyDescent="0.2">
      <c r="B35" s="6"/>
      <c r="F35" s="6"/>
    </row>
    <row r="36" spans="2:6" x14ac:dyDescent="0.2">
      <c r="B36" s="6"/>
      <c r="F36" s="6"/>
    </row>
    <row r="37" spans="2:6" x14ac:dyDescent="0.2">
      <c r="B37" s="6"/>
      <c r="F37" s="6"/>
    </row>
    <row r="38" spans="2:6" x14ac:dyDescent="0.2">
      <c r="B38" s="6"/>
      <c r="F38" s="6"/>
    </row>
    <row r="39" spans="2:6" x14ac:dyDescent="0.2">
      <c r="B39" s="6"/>
      <c r="F39" s="6"/>
    </row>
    <row r="40" spans="2:6" x14ac:dyDescent="0.2">
      <c r="B40" s="6"/>
      <c r="F40" s="6"/>
    </row>
    <row r="41" spans="2:6" x14ac:dyDescent="0.2">
      <c r="B41" s="6"/>
      <c r="F41" s="6"/>
    </row>
    <row r="42" spans="2:6" x14ac:dyDescent="0.2">
      <c r="B42" s="6"/>
      <c r="F42" s="6"/>
    </row>
    <row r="43" spans="2:6" x14ac:dyDescent="0.2">
      <c r="B43" s="6"/>
      <c r="F43" s="6"/>
    </row>
    <row r="44" spans="2:6" x14ac:dyDescent="0.2">
      <c r="B44" s="6"/>
      <c r="F44" s="6"/>
    </row>
    <row r="45" spans="2:6" x14ac:dyDescent="0.2">
      <c r="B45" s="6"/>
      <c r="F45" s="6"/>
    </row>
    <row r="46" spans="2:6" x14ac:dyDescent="0.2">
      <c r="B46" s="6"/>
      <c r="F46" s="6"/>
    </row>
    <row r="47" spans="2:6" x14ac:dyDescent="0.2">
      <c r="B47" s="6"/>
      <c r="F47" s="6"/>
    </row>
    <row r="48" spans="2: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</sheetData>
  <phoneticPr fontId="8" type="noConversion"/>
  <hyperlinks>
    <hyperlink ref="P11" r:id="rId1" display="http://www.konkoly.hu/cgi-bin/IBVS?4393"/>
    <hyperlink ref="P12" r:id="rId2" display="http://www.konkoly.hu/cgi-bin/IBVS?4393"/>
    <hyperlink ref="P13" r:id="rId3" display="http://www.konkoly.hu/cgi-bin/IBVS?4393"/>
    <hyperlink ref="P14" r:id="rId4" display="http://www.konkoly.hu/cgi-bin/IBVS?4393"/>
    <hyperlink ref="P15" r:id="rId5" display="http://www.konkoly.hu/cgi-bin/IBVS?4393"/>
    <hyperlink ref="P16" r:id="rId6" display="http://www.konkoly.hu/cgi-bin/IBVS?4393"/>
    <hyperlink ref="P17" r:id="rId7" display="http://www.konkoly.hu/cgi-bin/IBVS?4393"/>
    <hyperlink ref="P18" r:id="rId8" display="http://www.konkoly.hu/cgi-bin/IBVS?5583"/>
    <hyperlink ref="P20" r:id="rId9" display="http://var.astro.cz/oejv/issues/oejv0003.pdf"/>
    <hyperlink ref="P21" r:id="rId10" display="http://www.konkoly.hu/cgi-bin/IBVS?5894"/>
    <hyperlink ref="P22" r:id="rId11" display="http://www.konkoly.hu/cgi-bin/IBVS?5894"/>
    <hyperlink ref="P23" r:id="rId12" display="http://www.konkoly.hu/cgi-bin/IBVS?5945"/>
    <hyperlink ref="P24" r:id="rId13" display="http://www.bav-astro.de/sfs/BAVM_link.php?BAVMnr=214"/>
    <hyperlink ref="P25" r:id="rId14" display="http://www.konkoly.hu/cgi-bin/IBVS?5992"/>
    <hyperlink ref="P26" r:id="rId15" display="http://www.konkoly.hu/cgi-bin/IBVS?5992"/>
    <hyperlink ref="P27" r:id="rId16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2024-01-29T03:40:39Z</dcterms:modified>
</cp:coreProperties>
</file>