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296FEE69-3437-4E6A-A29A-F8EDD2DAC35F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Q22" i="1"/>
  <c r="Q23" i="1"/>
  <c r="Q24" i="1"/>
  <c r="F11" i="1"/>
  <c r="C21" i="1"/>
  <c r="E21" i="1"/>
  <c r="F21" i="1"/>
  <c r="G21" i="1"/>
  <c r="H21" i="1"/>
  <c r="A21" i="1"/>
  <c r="H20" i="1"/>
  <c r="G11" i="1"/>
  <c r="E14" i="1"/>
  <c r="E15" i="1" s="1"/>
  <c r="C17" i="1"/>
  <c r="Q21" i="1"/>
  <c r="C12" i="1"/>
  <c r="C16" i="1" l="1"/>
  <c r="D18" i="1" s="1"/>
  <c r="C11" i="1"/>
  <c r="O24" i="1" l="1"/>
  <c r="S24" i="1" s="1"/>
  <c r="C15" i="1"/>
  <c r="O21" i="1"/>
  <c r="S21" i="1" s="1"/>
  <c r="O22" i="1"/>
  <c r="S22" i="1" s="1"/>
  <c r="O23" i="1"/>
  <c r="S23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<sst xmlns="http://schemas.openxmlformats.org/spreadsheetml/2006/main" count="57" uniqueCount="52">
  <si>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</si>
  <si>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</si>
  <si>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</si>
  <si>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</si>
  <si>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</si>
  <si>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</si>
  <si>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</si>
  <si>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</si>
  <si>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</si>
  <si>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</si>
  <si>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</si>
  <si>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</si>
  <si>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</si>
  <si>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</si>
  <si>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</si>
  <si>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</si>
  <si>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</si>
  <si>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</si>
  <si>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</si>
  <si>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</si>
  <si>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</si>
  <si>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</si>
  <si>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</si>
  <si>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</si>
  <si>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</si>
  <si>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</si>
  <si>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</si>
  <si>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</si>
  <si>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</si>
  <si>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</si>
  <si>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</si>
  <si>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</si>
  <si>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</si>
  <si>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</si>
  <si>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</si>
  <si>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</si>
  <si>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</si>
  <si>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</si>
  <si>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</si>
  <si>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</si>
  <si>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</si>
  <si>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</si>
  <si>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G0819-0595</t>
  </si>
  <si>
    <t>G0819-0595_0.xls</t>
  </si>
  <si>
    <t>ESDED</t>
  </si>
  <si>
    <t>VSX</t>
  </si>
  <si>
    <t>IBVS 5945</t>
  </si>
  <si>
    <t>I</t>
  </si>
  <si>
    <t>IBVS 5992</t>
  </si>
  <si>
    <t>IBVS 6029</t>
  </si>
  <si>
    <t>CCD</t>
  </si>
  <si>
    <t>MZ Cnc / GSC 0819-0595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</si>
</sst>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8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16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MZ Cnc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6.9999999999999999E-4</c:v>
                  </c:pt>
                  <c:pt idx="3">
                    <c:v>1.6999999999999999E-3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6.9999999999999999E-4</c:v>
                  </c:pt>
                  <c:pt idx="3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1476</c:v>
                </c:pt>
                <c:pt idx="2">
                  <c:v>1840</c:v>
                </c:pt>
                <c:pt idx="3">
                  <c:v>2153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59B-4D51-9F6D-AD1C9FA6118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6.9999999999999999E-4</c:v>
                  </c:pt>
                  <c:pt idx="3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6.9999999999999999E-4</c:v>
                  </c:pt>
                  <c:pt idx="3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1476</c:v>
                </c:pt>
                <c:pt idx="2">
                  <c:v>1840</c:v>
                </c:pt>
                <c:pt idx="3">
                  <c:v>2153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1.6159999962837901E-2</c:v>
                </c:pt>
                <c:pt idx="2">
                  <c:v>2.0799999962036964E-2</c:v>
                </c:pt>
                <c:pt idx="3">
                  <c:v>2.0229999958246481E-2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59B-4D51-9F6D-AD1C9FA6118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6.9999999999999999E-4</c:v>
                  </c:pt>
                  <c:pt idx="3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6.9999999999999999E-4</c:v>
                  </c:pt>
                  <c:pt idx="3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1476</c:v>
                </c:pt>
                <c:pt idx="2">
                  <c:v>1840</c:v>
                </c:pt>
                <c:pt idx="3">
                  <c:v>2153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59B-4D51-9F6D-AD1C9FA6118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6.9999999999999999E-4</c:v>
                  </c:pt>
                  <c:pt idx="3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6.9999999999999999E-4</c:v>
                  </c:pt>
                  <c:pt idx="3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1476</c:v>
                </c:pt>
                <c:pt idx="2">
                  <c:v>1840</c:v>
                </c:pt>
                <c:pt idx="3">
                  <c:v>2153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59B-4D51-9F6D-AD1C9FA6118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6.9999999999999999E-4</c:v>
                  </c:pt>
                  <c:pt idx="3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6.9999999999999999E-4</c:v>
                  </c:pt>
                  <c:pt idx="3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1476</c:v>
                </c:pt>
                <c:pt idx="2">
                  <c:v>1840</c:v>
                </c:pt>
                <c:pt idx="3">
                  <c:v>2153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59B-4D51-9F6D-AD1C9FA6118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6.9999999999999999E-4</c:v>
                  </c:pt>
                  <c:pt idx="3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6.9999999999999999E-4</c:v>
                  </c:pt>
                  <c:pt idx="3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1476</c:v>
                </c:pt>
                <c:pt idx="2">
                  <c:v>1840</c:v>
                </c:pt>
                <c:pt idx="3">
                  <c:v>2153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59B-4D51-9F6D-AD1C9FA6118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6.9999999999999999E-4</c:v>
                  </c:pt>
                  <c:pt idx="3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6.9999999999999999E-4</c:v>
                  </c:pt>
                  <c:pt idx="3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1476</c:v>
                </c:pt>
                <c:pt idx="2">
                  <c:v>1840</c:v>
                </c:pt>
                <c:pt idx="3">
                  <c:v>2153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59B-4D51-9F6D-AD1C9FA6118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1476</c:v>
                </c:pt>
                <c:pt idx="2">
                  <c:v>1840</c:v>
                </c:pt>
                <c:pt idx="3">
                  <c:v>2153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4.9170780898844836E-4</c:v>
                </c:pt>
                <c:pt idx="1">
                  <c:v>1.5395601925503224E-2</c:v>
                </c:pt>
                <c:pt idx="2">
                  <c:v>1.9071088008437764E-2</c:v>
                </c:pt>
                <c:pt idx="3">
                  <c:v>2.223160214019191E-2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59B-4D51-9F6D-AD1C9FA61181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1476</c:v>
                </c:pt>
                <c:pt idx="2">
                  <c:v>1840</c:v>
                </c:pt>
                <c:pt idx="3">
                  <c:v>2153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59B-4D51-9F6D-AD1C9FA611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8114904"/>
        <c:axId val="1"/>
      </c:scatterChart>
      <c:valAx>
        <c:axId val="10081149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081149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85725</xdr:colOff>
      <xdr:row>0</xdr:row>
      <xdr:rowOff>0</xdr:rowOff>
    </xdr:from>
    <xdr:to>
      <xdr:col>17</xdr:col>
      <xdr:colOff>533400</xdr:colOff>
      <xdr:row>18</xdr:row>
      <xdr:rowOff>152400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07639CF-A753-BA9C-564F-B786E1B23C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H30" sqref="H3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7" t="s">
        <v>51</v>
      </c>
      <c r="E1" t="s">
        <v>43</v>
      </c>
    </row>
    <row r="2" spans="1:7" x14ac:dyDescent="0.2">
      <c r="A2" t="s">
        <v>23</v>
      </c>
      <c r="B2" t="s">
        <v>44</v>
      </c>
      <c r="C2" s="30" t="s">
        <v>41</v>
      </c>
      <c r="D2" s="2">
        <v>0</v>
      </c>
      <c r="E2" s="31" t="s">
        <v>42</v>
      </c>
      <c r="F2" t="e">
        <v>#N/A</v>
      </c>
    </row>
    <row r="3" spans="1:7" ht="13.5" thickBot="1" x14ac:dyDescent="0.25"/>
    <row r="4" spans="1:7" ht="14.25" thickTop="1" thickBot="1" x14ac:dyDescent="0.25">
      <c r="A4" s="4" t="s">
        <v>0</v>
      </c>
      <c r="C4" s="27" t="s">
        <v>40</v>
      </c>
      <c r="D4" s="28" t="s">
        <v>40</v>
      </c>
    </row>
    <row r="6" spans="1:7" x14ac:dyDescent="0.2">
      <c r="A6" s="4" t="s">
        <v>1</v>
      </c>
    </row>
    <row r="7" spans="1:7" x14ac:dyDescent="0.2">
      <c r="A7" t="s">
        <v>2</v>
      </c>
      <c r="C7" s="36">
        <v>53442.665000000037</v>
      </c>
      <c r="D7" s="29" t="s">
        <v>45</v>
      </c>
    </row>
    <row r="8" spans="1:7" x14ac:dyDescent="0.2">
      <c r="A8" t="s">
        <v>3</v>
      </c>
      <c r="C8" s="36">
        <v>1.19459</v>
      </c>
      <c r="D8" s="29" t="s">
        <v>45</v>
      </c>
    </row>
    <row r="9" spans="1:7" x14ac:dyDescent="0.2">
      <c r="A9" s="8" t="s">
        <v>30</v>
      </c>
      <c r="B9" s="9"/>
      <c r="C9" s="10">
        <v>-9.5</v>
      </c>
      <c r="D9" s="9" t="s">
        <v>31</v>
      </c>
      <c r="E9" s="9"/>
    </row>
    <row r="10" spans="1:7" ht="13.5" thickBot="1" x14ac:dyDescent="0.25">
      <c r="A10" s="9"/>
      <c r="B10" s="9"/>
      <c r="C10" s="3" t="s">
        <v>19</v>
      </c>
      <c r="D10" s="3" t="s">
        <v>20</v>
      </c>
      <c r="E10" s="9"/>
    </row>
    <row r="11" spans="1:7" x14ac:dyDescent="0.2">
      <c r="A11" s="9" t="s">
        <v>15</v>
      </c>
      <c r="B11" s="9"/>
      <c r="C11" s="21">
        <f ca="1">INTERCEPT(INDIRECT($G$11):G992,INDIRECT($F$11):F992)</f>
        <v>4.9170780898844836E-4</v>
      </c>
      <c r="D11" s="2"/>
      <c r="E11" s="9"/>
      <c r="F11" s="22" t="str">
        <f>"F"&amp;E19</f>
        <v>F21</v>
      </c>
      <c r="G11" s="23" t="str">
        <f>"G"&amp;E19</f>
        <v>G21</v>
      </c>
    </row>
    <row r="12" spans="1:7" x14ac:dyDescent="0.2">
      <c r="A12" s="9" t="s">
        <v>16</v>
      </c>
      <c r="B12" s="9"/>
      <c r="C12" s="21">
        <f ca="1">SLOPE(INDIRECT($G$11):G992,INDIRECT($F$11):F992)</f>
        <v>1.0097489238831149E-5</v>
      </c>
      <c r="D12" s="2"/>
      <c r="E12" s="9"/>
    </row>
    <row r="13" spans="1:7" x14ac:dyDescent="0.2">
      <c r="A13" s="9" t="s">
        <v>18</v>
      </c>
      <c r="B13" s="9"/>
      <c r="C13" s="2" t="s">
        <v>13</v>
      </c>
      <c r="D13" s="13" t="s">
        <v>37</v>
      </c>
      <c r="E13" s="10">
        <v>1</v>
      </c>
    </row>
    <row r="14" spans="1:7" x14ac:dyDescent="0.2">
      <c r="A14" s="9"/>
      <c r="B14" s="9"/>
      <c r="C14" s="9"/>
      <c r="D14" s="13" t="s">
        <v>32</v>
      </c>
      <c r="E14" s="14">
        <f ca="1">NOW()+15018.5+$C$9/24</f>
        <v>60338.715098726847</v>
      </c>
    </row>
    <row r="15" spans="1:7" x14ac:dyDescent="0.2">
      <c r="A15" s="11" t="s">
        <v>17</v>
      </c>
      <c r="B15" s="9"/>
      <c r="C15" s="12">
        <f ca="1">(C7+C11)+(C8+C12)*INT(MAX(F21:F3533))</f>
        <v>56014.639501602178</v>
      </c>
      <c r="D15" s="13" t="s">
        <v>38</v>
      </c>
      <c r="E15" s="14">
        <f ca="1">ROUND(2*(E14-$C$7)/$C$8,0)/2+E13</f>
        <v>5773.5</v>
      </c>
    </row>
    <row r="16" spans="1:7" x14ac:dyDescent="0.2">
      <c r="A16" s="15" t="s">
        <v>4</v>
      </c>
      <c r="B16" s="9"/>
      <c r="C16" s="16">
        <f ca="1">+C8+C12</f>
        <v>1.1946000974892388</v>
      </c>
      <c r="D16" s="13" t="s">
        <v>39</v>
      </c>
      <c r="E16" s="23">
        <f ca="1">ROUND(2*(E14-$C$15)/$C$16,0)/2+E13</f>
        <v>3620.5</v>
      </c>
    </row>
    <row r="17" spans="1:19" ht="13.5" thickBot="1" x14ac:dyDescent="0.25">
      <c r="A17" s="13" t="s">
        <v>29</v>
      </c>
      <c r="B17" s="9"/>
      <c r="C17" s="9">
        <f>COUNT(C21:C2191)</f>
        <v>4</v>
      </c>
      <c r="D17" s="13" t="s">
        <v>33</v>
      </c>
      <c r="E17" s="17">
        <f ca="1">+$C$15+$C$16*E16-15018.5-$C$9/24</f>
        <v>45321.584987895301</v>
      </c>
    </row>
    <row r="18" spans="1:19" ht="14.25" thickTop="1" thickBot="1" x14ac:dyDescent="0.25">
      <c r="A18" s="15" t="s">
        <v>5</v>
      </c>
      <c r="B18" s="9"/>
      <c r="C18" s="18">
        <f ca="1">+C15</f>
        <v>56014.639501602178</v>
      </c>
      <c r="D18" s="19">
        <f ca="1">+C16</f>
        <v>1.1946000974892388</v>
      </c>
      <c r="E18" s="20" t="s">
        <v>34</v>
      </c>
    </row>
    <row r="19" spans="1:19" ht="13.5" thickTop="1" x14ac:dyDescent="0.2">
      <c r="A19" s="24" t="s">
        <v>35</v>
      </c>
      <c r="E19" s="25">
        <v>21</v>
      </c>
      <c r="S19">
        <f ca="1">SQRT(SUM(S21:S50)/(COUNT(S21:S50)-1))</f>
        <v>1.6146856006633023E-3</v>
      </c>
    </row>
    <row r="20" spans="1:19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tr">
        <f>A21</f>
        <v>VSX</v>
      </c>
      <c r="I20" s="6" t="s">
        <v>28</v>
      </c>
      <c r="J20" s="6" t="s">
        <v>50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14</v>
      </c>
      <c r="R20" s="26" t="s">
        <v>36</v>
      </c>
    </row>
    <row r="21" spans="1:19" x14ac:dyDescent="0.2">
      <c r="A21" t="str">
        <f>D7</f>
        <v>VSX</v>
      </c>
      <c r="C21" s="7">
        <f>C$7</f>
        <v>53442.665000000037</v>
      </c>
      <c r="D21" s="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4.9170780898844836E-4</v>
      </c>
      <c r="Q21" s="1">
        <f>+C21-15018.5</f>
        <v>38424.165000000037</v>
      </c>
      <c r="S21">
        <f ca="1">+(O21-G21)^2</f>
        <v>2.4177656942022044E-7</v>
      </c>
    </row>
    <row r="22" spans="1:19" x14ac:dyDescent="0.2">
      <c r="A22" s="32" t="s">
        <v>46</v>
      </c>
      <c r="B22" s="33" t="s">
        <v>47</v>
      </c>
      <c r="C22" s="32">
        <v>55205.896000000001</v>
      </c>
      <c r="D22" s="32">
        <v>5.0000000000000001E-4</v>
      </c>
      <c r="E22">
        <f>+(C22-C$7)/C$8</f>
        <v>1476.0135276538088</v>
      </c>
      <c r="F22">
        <f>ROUND(2*E22,0)/2</f>
        <v>1476</v>
      </c>
      <c r="G22">
        <f>+C22-(C$7+F22*C$8)</f>
        <v>1.6159999962837901E-2</v>
      </c>
      <c r="I22">
        <f>+G22</f>
        <v>1.6159999962837901E-2</v>
      </c>
      <c r="O22">
        <f ca="1">+C$11+C$12*$F22</f>
        <v>1.5395601925503224E-2</v>
      </c>
      <c r="Q22" s="1">
        <f>+C22-15018.5</f>
        <v>40187.396000000001</v>
      </c>
      <c r="S22">
        <f ca="1">+(O22-G22)^2</f>
        <v>5.843043594811055E-7</v>
      </c>
    </row>
    <row r="23" spans="1:19" x14ac:dyDescent="0.2">
      <c r="A23" s="32" t="s">
        <v>48</v>
      </c>
      <c r="B23" s="33" t="s">
        <v>47</v>
      </c>
      <c r="C23" s="32">
        <v>55640.731399999997</v>
      </c>
      <c r="D23" s="32">
        <v>6.9999999999999999E-4</v>
      </c>
      <c r="E23">
        <f>+(C23-C$7)/C$8</f>
        <v>1840.0174118316406</v>
      </c>
      <c r="F23">
        <f>ROUND(2*E23,0)/2</f>
        <v>1840</v>
      </c>
      <c r="G23">
        <f>+C23-(C$7+F23*C$8)</f>
        <v>2.0799999962036964E-2</v>
      </c>
      <c r="I23">
        <f>+G23</f>
        <v>2.0799999962036964E-2</v>
      </c>
      <c r="O23">
        <f ca="1">+C$11+C$12*$F23</f>
        <v>1.9071088008437764E-2</v>
      </c>
      <c r="Q23" s="1">
        <f>+C23-15018.5</f>
        <v>40622.231399999997</v>
      </c>
      <c r="S23">
        <f ca="1">+(O23-G23)^2</f>
        <v>2.9891365432981996E-6</v>
      </c>
    </row>
    <row r="24" spans="1:19" x14ac:dyDescent="0.2">
      <c r="A24" s="34" t="s">
        <v>49</v>
      </c>
      <c r="B24" s="35" t="s">
        <v>47</v>
      </c>
      <c r="C24" s="34">
        <v>56014.637499999997</v>
      </c>
      <c r="D24" s="34">
        <v>1.6999999999999999E-3</v>
      </c>
      <c r="E24">
        <f>+(C24-C$7)/C$8</f>
        <v>2153.0169346804842</v>
      </c>
      <c r="F24">
        <f>ROUND(2*E24,0)/2</f>
        <v>2153</v>
      </c>
      <c r="G24">
        <f>+C24-(C$7+F24*C$8)</f>
        <v>2.0229999958246481E-2</v>
      </c>
      <c r="I24">
        <f>+G24</f>
        <v>2.0229999958246481E-2</v>
      </c>
      <c r="O24">
        <f ca="1">+C$11+C$12*$F24</f>
        <v>2.223160214019191E-2</v>
      </c>
      <c r="Q24" s="1">
        <f>+C24-15018.5</f>
        <v>40996.137499999997</v>
      </c>
      <c r="S24">
        <f ca="1">+(O24-G24)^2</f>
        <v>4.0064112947687027E-6</v>
      </c>
    </row>
    <row r="25" spans="1:19" x14ac:dyDescent="0.2">
      <c r="C25" s="7"/>
      <c r="D25" s="7"/>
      <c r="Q25" s="1"/>
    </row>
    <row r="26" spans="1:19" x14ac:dyDescent="0.2">
      <c r="C26" s="7"/>
      <c r="D26" s="7"/>
      <c r="Q26" s="1"/>
    </row>
    <row r="27" spans="1:19" x14ac:dyDescent="0.2">
      <c r="C27" s="7"/>
      <c r="D27" s="7"/>
      <c r="Q27" s="1"/>
    </row>
    <row r="28" spans="1:19" x14ac:dyDescent="0.2">
      <c r="C28" s="7"/>
      <c r="D28" s="7"/>
      <c r="Q28" s="1"/>
    </row>
    <row r="29" spans="1:19" x14ac:dyDescent="0.2">
      <c r="C29" s="7"/>
      <c r="D29" s="7"/>
      <c r="Q29" s="1"/>
    </row>
    <row r="30" spans="1:19" x14ac:dyDescent="0.2">
      <c r="C30" s="7"/>
      <c r="D30" s="7"/>
      <c r="Q30" s="1"/>
    </row>
    <row r="31" spans="1:19" x14ac:dyDescent="0.2">
      <c r="C31" s="7"/>
      <c r="D31" s="7"/>
      <c r="Q31" s="1"/>
    </row>
    <row r="32" spans="1:19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2024-01-29T04:09:44Z</dcterms:modified>
</cp:coreProperties>
</file>