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4B35359-B9DA-4154-88F8-C691DF50B4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7" i="1" l="1"/>
  <c r="F47" i="1" s="1"/>
  <c r="G47" i="1" s="1"/>
  <c r="K47" i="1" s="1"/>
  <c r="Q4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21" i="1"/>
  <c r="F21" i="1"/>
  <c r="G21" i="1"/>
  <c r="H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E9" i="1"/>
  <c r="A21" i="1"/>
  <c r="F16" i="1"/>
  <c r="F17" i="1" s="1"/>
  <c r="C17" i="1"/>
  <c r="Q21" i="1"/>
  <c r="C12" i="1"/>
  <c r="C11" i="1"/>
  <c r="O47" i="1" l="1"/>
  <c r="O30" i="1"/>
  <c r="O44" i="1"/>
  <c r="O29" i="1"/>
  <c r="O45" i="1"/>
  <c r="O25" i="1"/>
  <c r="O24" i="1"/>
  <c r="O43" i="1"/>
  <c r="O40" i="1"/>
  <c r="O38" i="1"/>
  <c r="O23" i="1"/>
  <c r="O37" i="1"/>
  <c r="O46" i="1"/>
  <c r="O27" i="1"/>
  <c r="O39" i="1"/>
  <c r="O26" i="1"/>
  <c r="O34" i="1"/>
  <c r="O42" i="1"/>
  <c r="O31" i="1"/>
  <c r="O28" i="1"/>
  <c r="O22" i="1"/>
  <c r="O35" i="1"/>
  <c r="O33" i="1"/>
  <c r="O21" i="1"/>
  <c r="O32" i="1"/>
  <c r="O41" i="1"/>
  <c r="C15" i="1"/>
  <c r="O3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<sst xmlns="http://schemas.openxmlformats.org/spreadsheetml/2006/main" count="313" uniqueCount="147">
  <si>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</si>
  <si>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</si>
  <si>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</si>
  <si>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</si>
  <si>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</si>
  <si>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</si>
  <si>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</si>
  <si>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</si>
  <si>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</si>
  <si>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</si>
  <si>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</si>
  <si>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</si>
  <si>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</si>
  <si>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</si>
  <si>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</si>
  <si>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</si>
  <si>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</si>
  <si>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</si>
  <si>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</si>
  <si>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</si>
  <si>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</si>
  <si>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</si>
  <si>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</si>
  <si>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</si>
  <si>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</si>
  <si>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</si>
  <si>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</si>
  <si>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</si>
  <si>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</si>
  <si>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</si>
  <si>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</si>
  <si>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</si>
  <si>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</si>
  <si>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</si>
  <si>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</si>
  <si>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</si>
  <si>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</si>
  <si>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</si>
  <si>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</si>
  <si>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</si>
  <si>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</si>
  <si>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</si>
  <si>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</si>
  <si>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</si>
  <si>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</si>
  <si>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</si>
  <si>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</si>
  <si>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</si>
  <si>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</si>
  <si>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TW Cnc</t>
  </si>
  <si>
    <t>EA</t>
  </si>
  <si>
    <t>TW Cnc / GSC 31854.76</t>
  </si>
  <si>
    <t>2425556.531 </t>
  </si>
  <si>
    <t> 06.11.1928 00:44 </t>
  </si>
  <si>
    <t> -0.939 </t>
  </si>
  <si>
    <t>P </t>
  </si>
  <si>
    <t> A.Jensch </t>
  </si>
  <si>
    <t> AN 253.212 </t>
  </si>
  <si>
    <t>2425981.481 </t>
  </si>
  <si>
    <t> 04.01.1930 23:32 </t>
  </si>
  <si>
    <t> -0.549 </t>
  </si>
  <si>
    <t>2427396.496 </t>
  </si>
  <si>
    <t> 19.11.1933 23:54 </t>
  </si>
  <si>
    <t> -0.734 </t>
  </si>
  <si>
    <t>2427397.622 </t>
  </si>
  <si>
    <t> 21.11.1933 02:55 </t>
  </si>
  <si>
    <t> 0.392 </t>
  </si>
  <si>
    <t>2428882.560 </t>
  </si>
  <si>
    <t> 15.12.1937 01:26 </t>
  </si>
  <si>
    <t> -0.630 </t>
  </si>
  <si>
    <t>V </t>
  </si>
  <si>
    <t> F.Lause </t>
  </si>
  <si>
    <t> AN 277.43 </t>
  </si>
  <si>
    <t>2428953.325 </t>
  </si>
  <si>
    <t> 23.02.1938 19:48 </t>
  </si>
  <si>
    <t> -0.625 </t>
  </si>
  <si>
    <t>2429024.090 </t>
  </si>
  <si>
    <t> 05.05.1938 14:09 </t>
  </si>
  <si>
    <t> -0.620 </t>
  </si>
  <si>
    <t>2430793.4 </t>
  </si>
  <si>
    <t> 09.03.1943 21:36 </t>
  </si>
  <si>
    <t> -0.3 </t>
  </si>
  <si>
    <t> A.Model </t>
  </si>
  <si>
    <t> MVS 2.149 </t>
  </si>
  <si>
    <t>2431500.99 </t>
  </si>
  <si>
    <t> 14.02.1945 11:45 </t>
  </si>
  <si>
    <t> -0.32 </t>
  </si>
  <si>
    <t> B.S.Whitney </t>
  </si>
  <si>
    <t> AJ 63.243 </t>
  </si>
  <si>
    <t>2431854.7 </t>
  </si>
  <si>
    <t> 03.02.1946 04:48 </t>
  </si>
  <si>
    <t> -0.4 </t>
  </si>
  <si>
    <t> R.M.Swesnik </t>
  </si>
  <si>
    <t> AJ 52.106 </t>
  </si>
  <si>
    <t>2431854.71 </t>
  </si>
  <si>
    <t> 03.02.1946 05:02 </t>
  </si>
  <si>
    <t> -0.40 </t>
  </si>
  <si>
    <t>2432208.55 </t>
  </si>
  <si>
    <t> 23.01.1947 01:12 </t>
  </si>
  <si>
    <t> -0.36 </t>
  </si>
  <si>
    <t>2432703.95 </t>
  </si>
  <si>
    <t> 01.06.1948 10:48 </t>
  </si>
  <si>
    <t> -0.28 </t>
  </si>
  <si>
    <t>2432916.13 </t>
  </si>
  <si>
    <t> 30.12.1948 15:07 </t>
  </si>
  <si>
    <t> -0.38 </t>
  </si>
  <si>
    <t>2433411.50 </t>
  </si>
  <si>
    <t> 10.05.1950 00:00 </t>
  </si>
  <si>
    <t> -0.33 </t>
  </si>
  <si>
    <t>2434331.34 </t>
  </si>
  <si>
    <t> 14.11.1952 20:09 </t>
  </si>
  <si>
    <t> -0.37 </t>
  </si>
  <si>
    <t>2434402.15 </t>
  </si>
  <si>
    <t> 24.01.1953 15:36 </t>
  </si>
  <si>
    <t>2434897.47 </t>
  </si>
  <si>
    <t> 03.06.1954 23:16 </t>
  </si>
  <si>
    <t>2435534.23 </t>
  </si>
  <si>
    <t> 01.03.1956 17:31 </t>
  </si>
  <si>
    <t>2436241.87 </t>
  </si>
  <si>
    <t> 07.02.1958 08:52 </t>
  </si>
  <si>
    <t>2437586.628 </t>
  </si>
  <si>
    <t> 14.10.1961 03:04 </t>
  </si>
  <si>
    <t> -0.042 </t>
  </si>
  <si>
    <t> H.Huth </t>
  </si>
  <si>
    <t> MVS 2.122 </t>
  </si>
  <si>
    <t>2445086.76 </t>
  </si>
  <si>
    <t> 27.04.1982 06:14 </t>
  </si>
  <si>
    <t> -0.47 </t>
  </si>
  <si>
    <t> T.Brelstaff </t>
  </si>
  <si>
    <t> VSSC 73 </t>
  </si>
  <si>
    <t>2445440.8 </t>
  </si>
  <si>
    <t> 16.04.1983 07:12 </t>
  </si>
  <si>
    <t> -0.2 </t>
  </si>
  <si>
    <t> H.Peter </t>
  </si>
  <si>
    <t> BBS 66 </t>
  </si>
  <si>
    <t>2445794.64 </t>
  </si>
  <si>
    <t> 04.04.1984 03:21 </t>
  </si>
  <si>
    <t> -0.19 </t>
  </si>
  <si>
    <t> VSSC 61.17 </t>
  </si>
  <si>
    <t>2453790.320 </t>
  </si>
  <si>
    <t> 23.02.2006 19:40 </t>
  </si>
  <si>
    <t> -0.390 </t>
  </si>
  <si>
    <t> R.Meyer </t>
  </si>
  <si>
    <t>BAVM 192 </t>
  </si>
  <si>
    <t>I</t>
  </si>
  <si>
    <t>Malkov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</si>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</sst>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18" fillId="4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4" fillId="0" borderId="0" xfId="0" applyFont="1" applyAlignment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4" fillId="0" borderId="4" xfId="0" applyFont="1" applyBorder="1">
      <alignment vertical="top"/>
    </xf>
    <xf numFmtId="0" fontId="14" fillId="0" borderId="5" xfId="0" applyFont="1" applyBorder="1">
      <alignment vertical="top"/>
    </xf>
    <xf numFmtId="14" fontId="14" fillId="0" borderId="0" xfId="0" applyNumberFormat="1" applyFont="1" applyAlignment="1"/>
    <xf numFmtId="0" fontId="14" fillId="0" borderId="0" xfId="0" applyFont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TW Cnc - O-C Diagr.</a:t>
            </a:r>
          </a:p>
        </c:rich>
      </c:tx>
      <c:layout>
        <c:manualLayout>
          <c:xMode val="edge"/>
          <c:yMode val="edge"/>
          <c:x val="0.38345864661654133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457831325301204"/>
          <c:w val="0.83458646616541354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36-49EF-A5D3-DC31B59F25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-0.58899999999994179</c:v>
                </c:pt>
                <c:pt idx="2">
                  <c:v>-0.19899999999688589</c:v>
                </c:pt>
                <c:pt idx="3">
                  <c:v>-0.38399999999819556</c:v>
                </c:pt>
                <c:pt idx="4">
                  <c:v>0.74200000000200816</c:v>
                </c:pt>
                <c:pt idx="5">
                  <c:v>-0.27999999999519787</c:v>
                </c:pt>
                <c:pt idx="6">
                  <c:v>-0.27499999999781721</c:v>
                </c:pt>
                <c:pt idx="7">
                  <c:v>-0.26999999999679858</c:v>
                </c:pt>
                <c:pt idx="8">
                  <c:v>4.0000000004511094E-2</c:v>
                </c:pt>
                <c:pt idx="9">
                  <c:v>3.0000000002473826E-2</c:v>
                </c:pt>
                <c:pt idx="10">
                  <c:v>-5.9999999997671694E-2</c:v>
                </c:pt>
                <c:pt idx="11">
                  <c:v>-4.9999999999272404E-2</c:v>
                </c:pt>
                <c:pt idx="12">
                  <c:v>-9.9999999983992893E-3</c:v>
                </c:pt>
                <c:pt idx="13">
                  <c:v>7.0000000003346941E-2</c:v>
                </c:pt>
                <c:pt idx="14">
                  <c:v>-2.9999999998835847E-2</c:v>
                </c:pt>
                <c:pt idx="15">
                  <c:v>2.0000000004074536E-2</c:v>
                </c:pt>
                <c:pt idx="16">
                  <c:v>-2.0000000004074536E-2</c:v>
                </c:pt>
                <c:pt idx="17">
                  <c:v>3.0000000006111804E-2</c:v>
                </c:pt>
                <c:pt idx="18">
                  <c:v>2.9999999998835847E-2</c:v>
                </c:pt>
                <c:pt idx="19">
                  <c:v>-4.9999999995634425E-2</c:v>
                </c:pt>
                <c:pt idx="20">
                  <c:v>-9.9999999947613105E-3</c:v>
                </c:pt>
                <c:pt idx="21">
                  <c:v>0.30799999999726424</c:v>
                </c:pt>
                <c:pt idx="22">
                  <c:v>-0.11999999999534339</c:v>
                </c:pt>
                <c:pt idx="23">
                  <c:v>0.12000000000261934</c:v>
                </c:pt>
                <c:pt idx="24">
                  <c:v>0.16000000000349246</c:v>
                </c:pt>
                <c:pt idx="25">
                  <c:v>-4.0000000000873115E-2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36-49EF-A5D3-DC31B59F25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36-49EF-A5D3-DC31B59F25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6">
                  <c:v>0.21069999999599531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36-49EF-A5D3-DC31B59F25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36-49EF-A5D3-DC31B59F25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36-49EF-A5D3-DC31B59F25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36-49EF-A5D3-DC31B59F25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-5.2568007411036274E-2</c:v>
                </c:pt>
                <c:pt idx="1">
                  <c:v>-0.11109223777029156</c:v>
                </c:pt>
                <c:pt idx="2">
                  <c:v>-0.10714678403820695</c:v>
                </c:pt>
                <c:pt idx="3">
                  <c:v>-9.3995271597924854E-2</c:v>
                </c:pt>
                <c:pt idx="4">
                  <c:v>-9.3995271597924854E-2</c:v>
                </c:pt>
                <c:pt idx="5">
                  <c:v>-8.0186183535628661E-2</c:v>
                </c:pt>
                <c:pt idx="6">
                  <c:v>-7.952860791361456E-2</c:v>
                </c:pt>
                <c:pt idx="7">
                  <c:v>-7.8871032291600446E-2</c:v>
                </c:pt>
                <c:pt idx="8">
                  <c:v>-6.2431641741247844E-2</c:v>
                </c:pt>
                <c:pt idx="9">
                  <c:v>-5.5855885521106798E-2</c:v>
                </c:pt>
                <c:pt idx="10">
                  <c:v>-5.2568007411036274E-2</c:v>
                </c:pt>
                <c:pt idx="11">
                  <c:v>-5.2568007411036274E-2</c:v>
                </c:pt>
                <c:pt idx="12">
                  <c:v>-4.9280129300965751E-2</c:v>
                </c:pt>
                <c:pt idx="13">
                  <c:v>-4.467709994686702E-2</c:v>
                </c:pt>
                <c:pt idx="14">
                  <c:v>-4.2704373080824705E-2</c:v>
                </c:pt>
                <c:pt idx="15">
                  <c:v>-3.8101343726725974E-2</c:v>
                </c:pt>
                <c:pt idx="16">
                  <c:v>-2.9552860640542619E-2</c:v>
                </c:pt>
                <c:pt idx="17">
                  <c:v>-2.8895285018528512E-2</c:v>
                </c:pt>
                <c:pt idx="18">
                  <c:v>-2.4292255664429781E-2</c:v>
                </c:pt>
                <c:pt idx="19">
                  <c:v>-1.8374075066302842E-2</c:v>
                </c:pt>
                <c:pt idx="20">
                  <c:v>-1.1798318846161795E-2</c:v>
                </c:pt>
                <c:pt idx="21">
                  <c:v>6.9561797210618975E-4</c:v>
                </c:pt>
                <c:pt idx="22">
                  <c:v>7.0398633905601263E-2</c:v>
                </c:pt>
                <c:pt idx="23">
                  <c:v>7.3686512015671793E-2</c:v>
                </c:pt>
                <c:pt idx="24">
                  <c:v>7.6974390125742295E-2</c:v>
                </c:pt>
                <c:pt idx="25">
                  <c:v>0.15128043541333613</c:v>
                </c:pt>
                <c:pt idx="26">
                  <c:v>0.20914709015057731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36-49EF-A5D3-DC31B59F256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36-49EF-A5D3-DC31B59F2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373704"/>
        <c:axId val="1"/>
      </c:scatterChart>
      <c:valAx>
        <c:axId val="64337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37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168674698795183"/>
          <c:w val="0.7142857142857143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5DD333-199B-3B63-3718-383E8B9D6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192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19" t="s">
        <v>49</v>
      </c>
      <c r="G1" s="20">
        <v>8.29373</v>
      </c>
      <c r="H1" s="21">
        <v>12.272</v>
      </c>
      <c r="I1" s="22">
        <v>31854.76</v>
      </c>
      <c r="J1" s="23">
        <v>70.760000000000005</v>
      </c>
      <c r="K1" s="24" t="s">
        <v>50</v>
      </c>
      <c r="L1" s="25"/>
      <c r="M1" s="26">
        <v>31854.76</v>
      </c>
      <c r="N1" s="26">
        <v>70.760000000000005</v>
      </c>
      <c r="O1" s="25" t="s">
        <v>50</v>
      </c>
    </row>
    <row r="2" spans="1:15" s="46" customFormat="1" ht="12.95" customHeight="1" x14ac:dyDescent="0.2">
      <c r="A2" s="46" t="s">
        <v>23</v>
      </c>
      <c r="B2" s="46" t="s">
        <v>50</v>
      </c>
      <c r="C2" s="18"/>
      <c r="D2" s="47"/>
    </row>
    <row r="3" spans="1:15" s="46" customFormat="1" ht="12.95" customHeight="1" thickBot="1" x14ac:dyDescent="0.25"/>
    <row r="4" spans="1:15" s="46" customFormat="1" ht="12.95" customHeight="1" thickTop="1" thickBot="1" x14ac:dyDescent="0.25">
      <c r="A4" s="48" t="s">
        <v>0</v>
      </c>
      <c r="C4" s="49">
        <v>52587.79</v>
      </c>
      <c r="D4" s="50">
        <v>70.760000000000005</v>
      </c>
    </row>
    <row r="5" spans="1:15" s="46" customFormat="1" ht="12.95" customHeight="1" thickTop="1" x14ac:dyDescent="0.2">
      <c r="A5" s="5" t="s">
        <v>28</v>
      </c>
      <c r="B5" s="51"/>
      <c r="C5" s="7">
        <v>-9.5</v>
      </c>
      <c r="D5" s="51" t="s">
        <v>29</v>
      </c>
      <c r="E5" s="51"/>
    </row>
    <row r="6" spans="1:15" s="46" customFormat="1" ht="12.95" customHeight="1" x14ac:dyDescent="0.2">
      <c r="A6" s="48" t="s">
        <v>1</v>
      </c>
    </row>
    <row r="7" spans="1:15" s="46" customFormat="1" ht="12.95" customHeight="1" x14ac:dyDescent="0.2">
      <c r="A7" s="46" t="s">
        <v>2</v>
      </c>
      <c r="C7" s="58">
        <v>31854.76</v>
      </c>
      <c r="D7" s="17" t="s">
        <v>145</v>
      </c>
    </row>
    <row r="8" spans="1:15" s="46" customFormat="1" ht="12.95" customHeight="1" x14ac:dyDescent="0.2">
      <c r="A8" s="46" t="s">
        <v>3</v>
      </c>
      <c r="C8" s="58">
        <v>70.760000000000005</v>
      </c>
      <c r="D8" s="17" t="s">
        <v>145</v>
      </c>
    </row>
    <row r="9" spans="1:15" s="46" customFormat="1" ht="12.95" customHeight="1" x14ac:dyDescent="0.2">
      <c r="A9" s="10" t="s">
        <v>32</v>
      </c>
      <c r="C9" s="15">
        <v>21</v>
      </c>
      <c r="D9" s="13" t="str">
        <f>"F"&amp;C9</f>
        <v>F21</v>
      </c>
      <c r="E9" s="14" t="str">
        <f>"G"&amp;C9</f>
        <v>G21</v>
      </c>
    </row>
    <row r="10" spans="1:15" s="46" customFormat="1" ht="12.95" customHeight="1" thickBot="1" x14ac:dyDescent="0.25">
      <c r="A10" s="51"/>
      <c r="B10" s="51"/>
      <c r="C10" s="53" t="s">
        <v>19</v>
      </c>
      <c r="D10" s="53" t="s">
        <v>20</v>
      </c>
      <c r="E10" s="51"/>
    </row>
    <row r="11" spans="1:15" s="46" customFormat="1" ht="12.95" customHeight="1" x14ac:dyDescent="0.2">
      <c r="A11" s="51" t="s">
        <v>15</v>
      </c>
      <c r="B11" s="51"/>
      <c r="C11" s="12">
        <f ca="1">INTERCEPT(INDIRECT($E$9):G992,INDIRECT($D$9):F992)</f>
        <v>-5.2568007411036274E-2</v>
      </c>
      <c r="D11" s="47"/>
      <c r="E11" s="51"/>
    </row>
    <row r="12" spans="1:15" s="46" customFormat="1" ht="12.95" customHeight="1" x14ac:dyDescent="0.2">
      <c r="A12" s="51" t="s">
        <v>16</v>
      </c>
      <c r="B12" s="51"/>
      <c r="C12" s="12">
        <f ca="1">SLOPE(INDIRECT($E$9):G992,INDIRECT($D$9):F992)</f>
        <v>6.5757562201410448E-4</v>
      </c>
      <c r="D12" s="47"/>
      <c r="E12" s="51"/>
    </row>
    <row r="13" spans="1:15" s="46" customFormat="1" ht="12.95" customHeight="1" x14ac:dyDescent="0.2">
      <c r="A13" s="51" t="s">
        <v>18</v>
      </c>
      <c r="B13" s="51"/>
      <c r="C13" s="47" t="s">
        <v>13</v>
      </c>
    </row>
    <row r="14" spans="1:15" s="46" customFormat="1" ht="12.95" customHeight="1" x14ac:dyDescent="0.2">
      <c r="A14" s="51"/>
      <c r="B14" s="51"/>
      <c r="C14" s="51"/>
    </row>
    <row r="15" spans="1:15" s="46" customFormat="1" ht="12.95" customHeight="1" x14ac:dyDescent="0.2">
      <c r="A15" s="8" t="s">
        <v>17</v>
      </c>
      <c r="B15" s="51"/>
      <c r="C15" s="9">
        <f ca="1">(C7+C11)+(C8+C12)*INT(MAX(F21:F3533))</f>
        <v>60017.449147090156</v>
      </c>
      <c r="E15" s="10" t="s">
        <v>34</v>
      </c>
      <c r="F15" s="27">
        <v>1</v>
      </c>
    </row>
    <row r="16" spans="1:15" s="46" customFormat="1" ht="12.95" customHeight="1" x14ac:dyDescent="0.2">
      <c r="A16" s="8" t="s">
        <v>4</v>
      </c>
      <c r="B16" s="51"/>
      <c r="C16" s="9">
        <f ca="1">+C8+C12</f>
        <v>70.76065757562202</v>
      </c>
      <c r="E16" s="10" t="s">
        <v>30</v>
      </c>
      <c r="F16" s="54">
        <f ca="1">NOW()+15018.5+$C$5/24</f>
        <v>60338.732457523147</v>
      </c>
    </row>
    <row r="17" spans="1:18" s="46" customFormat="1" ht="12.95" customHeight="1" thickBot="1" x14ac:dyDescent="0.25">
      <c r="A17" s="10" t="s">
        <v>27</v>
      </c>
      <c r="B17" s="51"/>
      <c r="C17" s="51">
        <f>COUNT(C21:C2191)</f>
        <v>27</v>
      </c>
      <c r="E17" s="10" t="s">
        <v>35</v>
      </c>
      <c r="F17" s="12">
        <f ca="1">ROUND(2*(F16-$C$7)/$C$8,0)/2+F15</f>
        <v>403.5</v>
      </c>
    </row>
    <row r="18" spans="1:18" s="46" customFormat="1" ht="12.95" customHeight="1" thickTop="1" thickBot="1" x14ac:dyDescent="0.25">
      <c r="A18" s="8" t="s">
        <v>5</v>
      </c>
      <c r="B18" s="51"/>
      <c r="C18" s="55">
        <f ca="1">+C15</f>
        <v>60017.449147090156</v>
      </c>
      <c r="D18" s="56">
        <f ca="1">+C16</f>
        <v>70.76065757562202</v>
      </c>
      <c r="E18" s="10" t="s">
        <v>36</v>
      </c>
      <c r="F18" s="14">
        <f ca="1">ROUND(2*(F16-$C$15)/$C$16,0)/2+F15</f>
        <v>5.5</v>
      </c>
    </row>
    <row r="19" spans="1:18" s="46" customFormat="1" ht="12.95" customHeight="1" thickTop="1" x14ac:dyDescent="0.2">
      <c r="E19" s="10" t="s">
        <v>31</v>
      </c>
      <c r="F19" s="11">
        <f ca="1">+$C$15+$C$16*F18-15018.5-$C$5/24</f>
        <v>45388.528597089411</v>
      </c>
    </row>
    <row r="20" spans="1:18" s="46" customFormat="1" ht="12.95" customHeight="1" thickBot="1" x14ac:dyDescent="0.25">
      <c r="A20" s="53" t="s">
        <v>6</v>
      </c>
      <c r="B20" s="53" t="s">
        <v>7</v>
      </c>
      <c r="C20" s="53" t="s">
        <v>8</v>
      </c>
      <c r="D20" s="53" t="s">
        <v>12</v>
      </c>
      <c r="E20" s="53" t="s">
        <v>9</v>
      </c>
      <c r="F20" s="53" t="s">
        <v>10</v>
      </c>
      <c r="G20" s="53" t="s">
        <v>11</v>
      </c>
      <c r="H20" s="3" t="s">
        <v>37</v>
      </c>
      <c r="I20" s="3" t="s">
        <v>38</v>
      </c>
      <c r="J20" s="3" t="s">
        <v>39</v>
      </c>
      <c r="K20" s="3" t="s">
        <v>40</v>
      </c>
      <c r="L20" s="3" t="s">
        <v>24</v>
      </c>
      <c r="M20" s="3" t="s">
        <v>25</v>
      </c>
      <c r="N20" s="3" t="s">
        <v>26</v>
      </c>
      <c r="O20" s="3" t="s">
        <v>22</v>
      </c>
      <c r="P20" s="3" t="s">
        <v>21</v>
      </c>
      <c r="Q20" s="53" t="s">
        <v>14</v>
      </c>
      <c r="R20" s="16" t="s">
        <v>33</v>
      </c>
    </row>
    <row r="21" spans="1:18" s="46" customFormat="1" ht="12.95" customHeight="1" x14ac:dyDescent="0.2">
      <c r="A21" s="46" t="str">
        <f>D7</f>
        <v>Malkov</v>
      </c>
      <c r="C21" s="52">
        <v>31854.76</v>
      </c>
      <c r="D21" s="52" t="s">
        <v>13</v>
      </c>
      <c r="E21" s="46">
        <f>+(C21-C$7)/C$8</f>
        <v>0</v>
      </c>
      <c r="F21" s="46">
        <f>ROUND(2*E21,0)/2</f>
        <v>0</v>
      </c>
      <c r="G21" s="46">
        <f>+C21-(C$7+F21*C$8)</f>
        <v>0</v>
      </c>
      <c r="H21" s="46">
        <f>+G21</f>
        <v>0</v>
      </c>
      <c r="O21" s="46">
        <f ca="1">+C$11+C$12*$F21</f>
        <v>-5.2568007411036274E-2</v>
      </c>
      <c r="Q21" s="57">
        <f>+C21-15018.5</f>
        <v>16836.259999999998</v>
      </c>
    </row>
    <row r="22" spans="1:18" s="46" customFormat="1" ht="12.95" customHeight="1" x14ac:dyDescent="0.2">
      <c r="A22" s="41" t="s">
        <v>57</v>
      </c>
      <c r="B22" s="42" t="s">
        <v>144</v>
      </c>
      <c r="C22" s="41">
        <v>25556.530999999999</v>
      </c>
      <c r="D22" s="41" t="s">
        <v>38</v>
      </c>
      <c r="E22" s="46">
        <f t="shared" ref="E22:E46" si="0">+(C22-C$7)/C$8</f>
        <v>-89.008323911814571</v>
      </c>
      <c r="F22" s="46">
        <f t="shared" ref="F22:F46" si="1">ROUND(2*E22,0)/2</f>
        <v>-89</v>
      </c>
      <c r="G22" s="46">
        <f t="shared" ref="G22:G46" si="2">+C22-(C$7+F22*C$8)</f>
        <v>-0.58899999999994179</v>
      </c>
      <c r="I22" s="46">
        <f t="shared" ref="I22:I46" si="3">+G22</f>
        <v>-0.58899999999994179</v>
      </c>
      <c r="O22" s="46">
        <f t="shared" ref="O22:O46" ca="1" si="4">+C$11+C$12*$F22</f>
        <v>-0.11109223777029156</v>
      </c>
      <c r="Q22" s="57">
        <f t="shared" ref="Q22:Q46" si="5">+C22-15018.5</f>
        <v>10538.030999999999</v>
      </c>
    </row>
    <row r="23" spans="1:18" s="46" customFormat="1" ht="12.95" customHeight="1" x14ac:dyDescent="0.2">
      <c r="A23" s="41" t="s">
        <v>57</v>
      </c>
      <c r="B23" s="42" t="s">
        <v>144</v>
      </c>
      <c r="C23" s="41">
        <v>25981.481</v>
      </c>
      <c r="D23" s="41" t="s">
        <v>38</v>
      </c>
      <c r="E23" s="46">
        <f t="shared" si="0"/>
        <v>-83.002812323346504</v>
      </c>
      <c r="F23" s="46">
        <f t="shared" si="1"/>
        <v>-83</v>
      </c>
      <c r="G23" s="46">
        <f t="shared" si="2"/>
        <v>-0.19899999999688589</v>
      </c>
      <c r="I23" s="46">
        <f t="shared" si="3"/>
        <v>-0.19899999999688589</v>
      </c>
      <c r="O23" s="46">
        <f t="shared" ca="1" si="4"/>
        <v>-0.10714678403820695</v>
      </c>
      <c r="Q23" s="57">
        <f t="shared" si="5"/>
        <v>10962.981</v>
      </c>
    </row>
    <row r="24" spans="1:18" s="46" customFormat="1" ht="12.95" customHeight="1" x14ac:dyDescent="0.2">
      <c r="A24" s="41" t="s">
        <v>57</v>
      </c>
      <c r="B24" s="42" t="s">
        <v>144</v>
      </c>
      <c r="C24" s="41">
        <v>27396.495999999999</v>
      </c>
      <c r="D24" s="41" t="s">
        <v>38</v>
      </c>
      <c r="E24" s="46">
        <f t="shared" si="0"/>
        <v>-63.005426794799305</v>
      </c>
      <c r="F24" s="46">
        <f t="shared" si="1"/>
        <v>-63</v>
      </c>
      <c r="G24" s="46">
        <f t="shared" si="2"/>
        <v>-0.38399999999819556</v>
      </c>
      <c r="I24" s="46">
        <f t="shared" si="3"/>
        <v>-0.38399999999819556</v>
      </c>
      <c r="O24" s="46">
        <f t="shared" ca="1" si="4"/>
        <v>-9.3995271597924854E-2</v>
      </c>
      <c r="Q24" s="57">
        <f t="shared" si="5"/>
        <v>12377.995999999999</v>
      </c>
    </row>
    <row r="25" spans="1:18" s="46" customFormat="1" ht="12.95" customHeight="1" x14ac:dyDescent="0.2">
      <c r="A25" s="41" t="s">
        <v>57</v>
      </c>
      <c r="B25" s="42" t="s">
        <v>144</v>
      </c>
      <c r="C25" s="41">
        <v>27397.621999999999</v>
      </c>
      <c r="D25" s="41" t="s">
        <v>38</v>
      </c>
      <c r="E25" s="46">
        <f t="shared" si="0"/>
        <v>-62.989513849632544</v>
      </c>
      <c r="F25" s="46">
        <f t="shared" si="1"/>
        <v>-63</v>
      </c>
      <c r="G25" s="46">
        <f t="shared" si="2"/>
        <v>0.74200000000200816</v>
      </c>
      <c r="I25" s="46">
        <f t="shared" si="3"/>
        <v>0.74200000000200816</v>
      </c>
      <c r="O25" s="46">
        <f t="shared" ca="1" si="4"/>
        <v>-9.3995271597924854E-2</v>
      </c>
      <c r="Q25" s="57">
        <f t="shared" si="5"/>
        <v>12379.121999999999</v>
      </c>
    </row>
    <row r="26" spans="1:18" s="46" customFormat="1" ht="12.95" customHeight="1" x14ac:dyDescent="0.2">
      <c r="A26" s="41" t="s">
        <v>72</v>
      </c>
      <c r="B26" s="42" t="s">
        <v>144</v>
      </c>
      <c r="C26" s="41">
        <v>28882.560000000001</v>
      </c>
      <c r="D26" s="41" t="s">
        <v>38</v>
      </c>
      <c r="E26" s="46">
        <f t="shared" si="0"/>
        <v>-42.003957037874464</v>
      </c>
      <c r="F26" s="46">
        <f t="shared" si="1"/>
        <v>-42</v>
      </c>
      <c r="G26" s="46">
        <f t="shared" si="2"/>
        <v>-0.27999999999519787</v>
      </c>
      <c r="I26" s="46">
        <f t="shared" si="3"/>
        <v>-0.27999999999519787</v>
      </c>
      <c r="O26" s="46">
        <f t="shared" ca="1" si="4"/>
        <v>-8.0186183535628661E-2</v>
      </c>
      <c r="Q26" s="57">
        <f t="shared" si="5"/>
        <v>13864.060000000001</v>
      </c>
    </row>
    <row r="27" spans="1:18" s="46" customFormat="1" ht="12.95" customHeight="1" x14ac:dyDescent="0.2">
      <c r="A27" s="41" t="s">
        <v>72</v>
      </c>
      <c r="B27" s="42" t="s">
        <v>144</v>
      </c>
      <c r="C27" s="41">
        <v>28953.325000000001</v>
      </c>
      <c r="D27" s="41" t="s">
        <v>38</v>
      </c>
      <c r="E27" s="46">
        <f t="shared" si="0"/>
        <v>-41.003886376483855</v>
      </c>
      <c r="F27" s="46">
        <f t="shared" si="1"/>
        <v>-41</v>
      </c>
      <c r="G27" s="46">
        <f t="shared" si="2"/>
        <v>-0.27499999999781721</v>
      </c>
      <c r="I27" s="46">
        <f t="shared" si="3"/>
        <v>-0.27499999999781721</v>
      </c>
      <c r="O27" s="46">
        <f t="shared" ca="1" si="4"/>
        <v>-7.952860791361456E-2</v>
      </c>
      <c r="Q27" s="57">
        <f t="shared" si="5"/>
        <v>13934.825000000001</v>
      </c>
    </row>
    <row r="28" spans="1:18" s="46" customFormat="1" ht="12.95" customHeight="1" x14ac:dyDescent="0.2">
      <c r="A28" s="41" t="s">
        <v>72</v>
      </c>
      <c r="B28" s="42" t="s">
        <v>144</v>
      </c>
      <c r="C28" s="41">
        <v>29024.09</v>
      </c>
      <c r="D28" s="41" t="s">
        <v>38</v>
      </c>
      <c r="E28" s="46">
        <f t="shared" si="0"/>
        <v>-40.003815715093246</v>
      </c>
      <c r="F28" s="46">
        <f t="shared" si="1"/>
        <v>-40</v>
      </c>
      <c r="G28" s="46">
        <f t="shared" si="2"/>
        <v>-0.26999999999679858</v>
      </c>
      <c r="I28" s="46">
        <f t="shared" si="3"/>
        <v>-0.26999999999679858</v>
      </c>
      <c r="O28" s="46">
        <f t="shared" ca="1" si="4"/>
        <v>-7.8871032291600446E-2</v>
      </c>
      <c r="Q28" s="57">
        <f t="shared" si="5"/>
        <v>14005.59</v>
      </c>
    </row>
    <row r="29" spans="1:18" s="46" customFormat="1" ht="12.95" customHeight="1" x14ac:dyDescent="0.2">
      <c r="A29" s="41" t="s">
        <v>83</v>
      </c>
      <c r="B29" s="42" t="s">
        <v>144</v>
      </c>
      <c r="C29" s="41">
        <v>30793.4</v>
      </c>
      <c r="D29" s="41" t="s">
        <v>38</v>
      </c>
      <c r="E29" s="46">
        <f t="shared" si="0"/>
        <v>-14.999434708875027</v>
      </c>
      <c r="F29" s="46">
        <f t="shared" si="1"/>
        <v>-15</v>
      </c>
      <c r="G29" s="46">
        <f t="shared" si="2"/>
        <v>4.0000000004511094E-2</v>
      </c>
      <c r="I29" s="46">
        <f t="shared" si="3"/>
        <v>4.0000000004511094E-2</v>
      </c>
      <c r="O29" s="46">
        <f t="shared" ca="1" si="4"/>
        <v>-6.2431641741247844E-2</v>
      </c>
      <c r="Q29" s="57">
        <f t="shared" si="5"/>
        <v>15774.900000000001</v>
      </c>
    </row>
    <row r="30" spans="1:18" s="46" customFormat="1" ht="12.95" customHeight="1" x14ac:dyDescent="0.2">
      <c r="A30" s="41" t="s">
        <v>88</v>
      </c>
      <c r="B30" s="42" t="s">
        <v>144</v>
      </c>
      <c r="C30" s="41">
        <v>31500.99</v>
      </c>
      <c r="D30" s="41" t="s">
        <v>38</v>
      </c>
      <c r="E30" s="46">
        <f t="shared" si="0"/>
        <v>-4.9995760316562574</v>
      </c>
      <c r="F30" s="46">
        <f t="shared" si="1"/>
        <v>-5</v>
      </c>
      <c r="G30" s="46">
        <f t="shared" si="2"/>
        <v>3.0000000002473826E-2</v>
      </c>
      <c r="I30" s="46">
        <f t="shared" si="3"/>
        <v>3.0000000002473826E-2</v>
      </c>
      <c r="O30" s="46">
        <f t="shared" ca="1" si="4"/>
        <v>-5.5855885521106798E-2</v>
      </c>
      <c r="Q30" s="57">
        <f t="shared" si="5"/>
        <v>16482.490000000002</v>
      </c>
    </row>
    <row r="31" spans="1:18" s="46" customFormat="1" ht="12.95" customHeight="1" x14ac:dyDescent="0.2">
      <c r="A31" s="41" t="s">
        <v>93</v>
      </c>
      <c r="B31" s="42" t="s">
        <v>144</v>
      </c>
      <c r="C31" s="41">
        <v>31854.7</v>
      </c>
      <c r="D31" s="41" t="s">
        <v>38</v>
      </c>
      <c r="E31" s="46">
        <f t="shared" si="0"/>
        <v>-8.4793668736110356E-4</v>
      </c>
      <c r="F31" s="46">
        <f t="shared" si="1"/>
        <v>0</v>
      </c>
      <c r="G31" s="46">
        <f t="shared" si="2"/>
        <v>-5.9999999997671694E-2</v>
      </c>
      <c r="I31" s="46">
        <f t="shared" si="3"/>
        <v>-5.9999999997671694E-2</v>
      </c>
      <c r="O31" s="46">
        <f t="shared" ca="1" si="4"/>
        <v>-5.2568007411036274E-2</v>
      </c>
      <c r="Q31" s="57">
        <f t="shared" si="5"/>
        <v>16836.2</v>
      </c>
    </row>
    <row r="32" spans="1:18" s="46" customFormat="1" ht="12.95" customHeight="1" x14ac:dyDescent="0.2">
      <c r="A32" s="41" t="s">
        <v>88</v>
      </c>
      <c r="B32" s="42" t="s">
        <v>144</v>
      </c>
      <c r="C32" s="41">
        <v>31854.71</v>
      </c>
      <c r="D32" s="41" t="s">
        <v>38</v>
      </c>
      <c r="E32" s="46">
        <f t="shared" si="0"/>
        <v>-7.0661390615139061E-4</v>
      </c>
      <c r="F32" s="46">
        <f t="shared" si="1"/>
        <v>0</v>
      </c>
      <c r="G32" s="46">
        <f t="shared" si="2"/>
        <v>-4.9999999999272404E-2</v>
      </c>
      <c r="I32" s="46">
        <f t="shared" si="3"/>
        <v>-4.9999999999272404E-2</v>
      </c>
      <c r="O32" s="46">
        <f t="shared" ca="1" si="4"/>
        <v>-5.2568007411036274E-2</v>
      </c>
      <c r="Q32" s="57">
        <f t="shared" si="5"/>
        <v>16836.21</v>
      </c>
    </row>
    <row r="33" spans="1:17" s="46" customFormat="1" ht="12.95" customHeight="1" x14ac:dyDescent="0.2">
      <c r="A33" s="41" t="s">
        <v>88</v>
      </c>
      <c r="B33" s="42" t="s">
        <v>144</v>
      </c>
      <c r="C33" s="41">
        <v>32208.55</v>
      </c>
      <c r="D33" s="41" t="s">
        <v>38</v>
      </c>
      <c r="E33" s="46">
        <f t="shared" si="0"/>
        <v>4.9998586772187794</v>
      </c>
      <c r="F33" s="46">
        <f t="shared" si="1"/>
        <v>5</v>
      </c>
      <c r="G33" s="46">
        <f t="shared" si="2"/>
        <v>-9.9999999983992893E-3</v>
      </c>
      <c r="I33" s="46">
        <f t="shared" si="3"/>
        <v>-9.9999999983992893E-3</v>
      </c>
      <c r="O33" s="46">
        <f t="shared" ca="1" si="4"/>
        <v>-4.9280129300965751E-2</v>
      </c>
      <c r="Q33" s="57">
        <f t="shared" si="5"/>
        <v>17190.05</v>
      </c>
    </row>
    <row r="34" spans="1:17" s="46" customFormat="1" ht="12.95" customHeight="1" x14ac:dyDescent="0.2">
      <c r="A34" s="41" t="s">
        <v>88</v>
      </c>
      <c r="B34" s="42" t="s">
        <v>144</v>
      </c>
      <c r="C34" s="41">
        <v>32703.95</v>
      </c>
      <c r="D34" s="41" t="s">
        <v>38</v>
      </c>
      <c r="E34" s="46">
        <f t="shared" si="0"/>
        <v>12.000989259468659</v>
      </c>
      <c r="F34" s="46">
        <f t="shared" si="1"/>
        <v>12</v>
      </c>
      <c r="G34" s="46">
        <f t="shared" si="2"/>
        <v>7.0000000003346941E-2</v>
      </c>
      <c r="I34" s="46">
        <f t="shared" si="3"/>
        <v>7.0000000003346941E-2</v>
      </c>
      <c r="O34" s="46">
        <f t="shared" ca="1" si="4"/>
        <v>-4.467709994686702E-2</v>
      </c>
      <c r="Q34" s="57">
        <f t="shared" si="5"/>
        <v>17685.45</v>
      </c>
    </row>
    <row r="35" spans="1:17" s="46" customFormat="1" ht="12.95" customHeight="1" x14ac:dyDescent="0.2">
      <c r="A35" s="41" t="s">
        <v>88</v>
      </c>
      <c r="B35" s="42" t="s">
        <v>144</v>
      </c>
      <c r="C35" s="41">
        <v>32916.129999999997</v>
      </c>
      <c r="D35" s="41" t="s">
        <v>38</v>
      </c>
      <c r="E35" s="46">
        <f t="shared" si="0"/>
        <v>14.999576031656288</v>
      </c>
      <c r="F35" s="46">
        <f t="shared" si="1"/>
        <v>15</v>
      </c>
      <c r="G35" s="46">
        <f t="shared" si="2"/>
        <v>-2.9999999998835847E-2</v>
      </c>
      <c r="I35" s="46">
        <f t="shared" si="3"/>
        <v>-2.9999999998835847E-2</v>
      </c>
      <c r="O35" s="46">
        <f t="shared" ca="1" si="4"/>
        <v>-4.2704373080824705E-2</v>
      </c>
      <c r="Q35" s="57">
        <f t="shared" si="5"/>
        <v>17897.629999999997</v>
      </c>
    </row>
    <row r="36" spans="1:17" s="46" customFormat="1" ht="12.95" customHeight="1" x14ac:dyDescent="0.2">
      <c r="A36" s="41" t="s">
        <v>88</v>
      </c>
      <c r="B36" s="42" t="s">
        <v>144</v>
      </c>
      <c r="C36" s="41">
        <v>33411.5</v>
      </c>
      <c r="D36" s="41" t="s">
        <v>38</v>
      </c>
      <c r="E36" s="46">
        <f t="shared" si="0"/>
        <v>22.000282645562486</v>
      </c>
      <c r="F36" s="46">
        <f t="shared" si="1"/>
        <v>22</v>
      </c>
      <c r="G36" s="46">
        <f t="shared" si="2"/>
        <v>2.0000000004074536E-2</v>
      </c>
      <c r="I36" s="46">
        <f t="shared" si="3"/>
        <v>2.0000000004074536E-2</v>
      </c>
      <c r="O36" s="46">
        <f t="shared" ca="1" si="4"/>
        <v>-3.8101343726725974E-2</v>
      </c>
      <c r="Q36" s="57">
        <f t="shared" si="5"/>
        <v>18393</v>
      </c>
    </row>
    <row r="37" spans="1:17" s="46" customFormat="1" ht="12.95" customHeight="1" x14ac:dyDescent="0.2">
      <c r="A37" s="41" t="s">
        <v>88</v>
      </c>
      <c r="B37" s="42" t="s">
        <v>144</v>
      </c>
      <c r="C37" s="41">
        <v>34331.339999999997</v>
      </c>
      <c r="D37" s="41" t="s">
        <v>38</v>
      </c>
      <c r="E37" s="46">
        <f t="shared" si="0"/>
        <v>34.999717354437507</v>
      </c>
      <c r="F37" s="46">
        <f t="shared" si="1"/>
        <v>35</v>
      </c>
      <c r="G37" s="46">
        <f t="shared" si="2"/>
        <v>-2.0000000004074536E-2</v>
      </c>
      <c r="I37" s="46">
        <f t="shared" si="3"/>
        <v>-2.0000000004074536E-2</v>
      </c>
      <c r="O37" s="46">
        <f t="shared" ca="1" si="4"/>
        <v>-2.9552860640542619E-2</v>
      </c>
      <c r="Q37" s="57">
        <f t="shared" si="5"/>
        <v>19312.839999999997</v>
      </c>
    </row>
    <row r="38" spans="1:17" s="46" customFormat="1" ht="12.95" customHeight="1" x14ac:dyDescent="0.2">
      <c r="A38" s="41" t="s">
        <v>88</v>
      </c>
      <c r="B38" s="42" t="s">
        <v>144</v>
      </c>
      <c r="C38" s="41">
        <v>34402.15</v>
      </c>
      <c r="D38" s="41" t="s">
        <v>38</v>
      </c>
      <c r="E38" s="46">
        <f t="shared" si="0"/>
        <v>36.000423968343739</v>
      </c>
      <c r="F38" s="46">
        <f t="shared" si="1"/>
        <v>36</v>
      </c>
      <c r="G38" s="46">
        <f t="shared" si="2"/>
        <v>3.0000000006111804E-2</v>
      </c>
      <c r="I38" s="46">
        <f t="shared" si="3"/>
        <v>3.0000000006111804E-2</v>
      </c>
      <c r="O38" s="46">
        <f t="shared" ca="1" si="4"/>
        <v>-2.8895285018528512E-2</v>
      </c>
      <c r="Q38" s="57">
        <f t="shared" si="5"/>
        <v>19383.650000000001</v>
      </c>
    </row>
    <row r="39" spans="1:17" s="46" customFormat="1" ht="12.95" customHeight="1" x14ac:dyDescent="0.2">
      <c r="A39" s="41" t="s">
        <v>88</v>
      </c>
      <c r="B39" s="42" t="s">
        <v>144</v>
      </c>
      <c r="C39" s="41">
        <v>34897.47</v>
      </c>
      <c r="D39" s="41" t="s">
        <v>38</v>
      </c>
      <c r="E39" s="46">
        <f t="shared" si="0"/>
        <v>43.000423968343732</v>
      </c>
      <c r="F39" s="46">
        <f t="shared" si="1"/>
        <v>43</v>
      </c>
      <c r="G39" s="46">
        <f t="shared" si="2"/>
        <v>2.9999999998835847E-2</v>
      </c>
      <c r="I39" s="46">
        <f t="shared" si="3"/>
        <v>2.9999999998835847E-2</v>
      </c>
      <c r="O39" s="46">
        <f t="shared" ca="1" si="4"/>
        <v>-2.4292255664429781E-2</v>
      </c>
      <c r="Q39" s="57">
        <f t="shared" si="5"/>
        <v>19878.97</v>
      </c>
    </row>
    <row r="40" spans="1:17" s="46" customFormat="1" ht="12.95" customHeight="1" x14ac:dyDescent="0.2">
      <c r="A40" s="41" t="s">
        <v>88</v>
      </c>
      <c r="B40" s="42" t="s">
        <v>144</v>
      </c>
      <c r="C40" s="41">
        <v>35534.230000000003</v>
      </c>
      <c r="D40" s="41" t="s">
        <v>38</v>
      </c>
      <c r="E40" s="46">
        <f t="shared" si="0"/>
        <v>51.999293386093903</v>
      </c>
      <c r="F40" s="46">
        <f t="shared" si="1"/>
        <v>52</v>
      </c>
      <c r="G40" s="46">
        <f t="shared" si="2"/>
        <v>-4.9999999995634425E-2</v>
      </c>
      <c r="I40" s="46">
        <f t="shared" si="3"/>
        <v>-4.9999999995634425E-2</v>
      </c>
      <c r="O40" s="46">
        <f t="shared" ca="1" si="4"/>
        <v>-1.8374075066302842E-2</v>
      </c>
      <c r="Q40" s="57">
        <f t="shared" si="5"/>
        <v>20515.730000000003</v>
      </c>
    </row>
    <row r="41" spans="1:17" s="46" customFormat="1" ht="12.95" customHeight="1" x14ac:dyDescent="0.2">
      <c r="A41" s="41" t="s">
        <v>88</v>
      </c>
      <c r="B41" s="42" t="s">
        <v>144</v>
      </c>
      <c r="C41" s="41">
        <v>36241.870000000003</v>
      </c>
      <c r="D41" s="41" t="s">
        <v>38</v>
      </c>
      <c r="E41" s="46">
        <f t="shared" si="0"/>
        <v>61.999858677218825</v>
      </c>
      <c r="F41" s="46">
        <f t="shared" si="1"/>
        <v>62</v>
      </c>
      <c r="G41" s="46">
        <f t="shared" si="2"/>
        <v>-9.9999999947613105E-3</v>
      </c>
      <c r="I41" s="46">
        <f t="shared" si="3"/>
        <v>-9.9999999947613105E-3</v>
      </c>
      <c r="O41" s="46">
        <f t="shared" ca="1" si="4"/>
        <v>-1.1798318846161795E-2</v>
      </c>
      <c r="Q41" s="57">
        <f t="shared" si="5"/>
        <v>21223.370000000003</v>
      </c>
    </row>
    <row r="42" spans="1:17" s="46" customFormat="1" ht="12.95" customHeight="1" x14ac:dyDescent="0.2">
      <c r="A42" s="41" t="s">
        <v>124</v>
      </c>
      <c r="B42" s="42" t="s">
        <v>144</v>
      </c>
      <c r="C42" s="41">
        <v>37586.627999999997</v>
      </c>
      <c r="D42" s="41" t="s">
        <v>38</v>
      </c>
      <c r="E42" s="46">
        <f t="shared" si="0"/>
        <v>81.004352741661933</v>
      </c>
      <c r="F42" s="46">
        <f t="shared" si="1"/>
        <v>81</v>
      </c>
      <c r="G42" s="46">
        <f t="shared" si="2"/>
        <v>0.30799999999726424</v>
      </c>
      <c r="I42" s="46">
        <f t="shared" si="3"/>
        <v>0.30799999999726424</v>
      </c>
      <c r="O42" s="46">
        <f t="shared" ca="1" si="4"/>
        <v>6.9561797210618975E-4</v>
      </c>
      <c r="Q42" s="57">
        <f t="shared" si="5"/>
        <v>22568.127999999997</v>
      </c>
    </row>
    <row r="43" spans="1:17" s="46" customFormat="1" ht="12.95" customHeight="1" x14ac:dyDescent="0.2">
      <c r="A43" s="41" t="s">
        <v>129</v>
      </c>
      <c r="B43" s="42" t="s">
        <v>144</v>
      </c>
      <c r="C43" s="41">
        <v>45086.76</v>
      </c>
      <c r="D43" s="41" t="s">
        <v>38</v>
      </c>
      <c r="E43" s="46">
        <f t="shared" si="0"/>
        <v>186.99830412662524</v>
      </c>
      <c r="F43" s="46">
        <f t="shared" si="1"/>
        <v>187</v>
      </c>
      <c r="G43" s="46">
        <f t="shared" si="2"/>
        <v>-0.11999999999534339</v>
      </c>
      <c r="I43" s="46">
        <f t="shared" si="3"/>
        <v>-0.11999999999534339</v>
      </c>
      <c r="O43" s="46">
        <f t="shared" ca="1" si="4"/>
        <v>7.0398633905601263E-2</v>
      </c>
      <c r="Q43" s="57">
        <f t="shared" si="5"/>
        <v>30068.260000000002</v>
      </c>
    </row>
    <row r="44" spans="1:17" s="46" customFormat="1" ht="12.95" customHeight="1" x14ac:dyDescent="0.2">
      <c r="A44" s="41" t="s">
        <v>134</v>
      </c>
      <c r="B44" s="42" t="s">
        <v>144</v>
      </c>
      <c r="C44" s="41">
        <v>45440.800000000003</v>
      </c>
      <c r="D44" s="41" t="s">
        <v>38</v>
      </c>
      <c r="E44" s="46">
        <f t="shared" si="0"/>
        <v>192.00169587337484</v>
      </c>
      <c r="F44" s="46">
        <f t="shared" si="1"/>
        <v>192</v>
      </c>
      <c r="G44" s="46">
        <f t="shared" si="2"/>
        <v>0.12000000000261934</v>
      </c>
      <c r="I44" s="46">
        <f t="shared" si="3"/>
        <v>0.12000000000261934</v>
      </c>
      <c r="O44" s="46">
        <f t="shared" ca="1" si="4"/>
        <v>7.3686512015671793E-2</v>
      </c>
      <c r="Q44" s="57">
        <f t="shared" si="5"/>
        <v>30422.300000000003</v>
      </c>
    </row>
    <row r="45" spans="1:17" s="46" customFormat="1" ht="12.95" customHeight="1" x14ac:dyDescent="0.2">
      <c r="A45" s="41" t="s">
        <v>138</v>
      </c>
      <c r="B45" s="42" t="s">
        <v>144</v>
      </c>
      <c r="C45" s="41">
        <v>45794.64</v>
      </c>
      <c r="D45" s="41" t="s">
        <v>38</v>
      </c>
      <c r="E45" s="46">
        <f t="shared" si="0"/>
        <v>197.00226116449971</v>
      </c>
      <c r="F45" s="46">
        <f t="shared" si="1"/>
        <v>197</v>
      </c>
      <c r="G45" s="46">
        <f t="shared" si="2"/>
        <v>0.16000000000349246</v>
      </c>
      <c r="I45" s="46">
        <f t="shared" si="3"/>
        <v>0.16000000000349246</v>
      </c>
      <c r="O45" s="46">
        <f t="shared" ca="1" si="4"/>
        <v>7.6974390125742295E-2</v>
      </c>
      <c r="Q45" s="57">
        <f t="shared" si="5"/>
        <v>30776.14</v>
      </c>
    </row>
    <row r="46" spans="1:17" s="46" customFormat="1" ht="12.95" customHeight="1" x14ac:dyDescent="0.2">
      <c r="A46" s="41" t="s">
        <v>143</v>
      </c>
      <c r="B46" s="42" t="s">
        <v>144</v>
      </c>
      <c r="C46" s="41">
        <v>53790.32</v>
      </c>
      <c r="D46" s="41" t="s">
        <v>38</v>
      </c>
      <c r="E46" s="46">
        <f t="shared" si="0"/>
        <v>309.99943470887507</v>
      </c>
      <c r="F46" s="46">
        <f t="shared" si="1"/>
        <v>310</v>
      </c>
      <c r="G46" s="46">
        <f t="shared" si="2"/>
        <v>-4.0000000000873115E-2</v>
      </c>
      <c r="I46" s="46">
        <f t="shared" si="3"/>
        <v>-4.0000000000873115E-2</v>
      </c>
      <c r="O46" s="46">
        <f t="shared" ca="1" si="4"/>
        <v>0.15128043541333613</v>
      </c>
      <c r="Q46" s="57">
        <f t="shared" si="5"/>
        <v>38771.82</v>
      </c>
    </row>
    <row r="47" spans="1:17" s="46" customFormat="1" ht="12.95" customHeight="1" x14ac:dyDescent="0.2">
      <c r="A47" s="43" t="s">
        <v>146</v>
      </c>
      <c r="B47" s="44" t="s">
        <v>144</v>
      </c>
      <c r="C47" s="45">
        <v>60017.450700000001</v>
      </c>
      <c r="D47" s="45">
        <v>8.0000000000000004E-4</v>
      </c>
      <c r="E47" s="46">
        <f t="shared" ref="E47" si="6">+(C47-C$7)/C$8</f>
        <v>398.00297767100056</v>
      </c>
      <c r="F47" s="46">
        <f t="shared" ref="F47" si="7">ROUND(2*E47,0)/2</f>
        <v>398</v>
      </c>
      <c r="G47" s="46">
        <f t="shared" ref="G47" si="8">+C47-(C$7+F47*C$8)</f>
        <v>0.21069999999599531</v>
      </c>
      <c r="K47" s="46">
        <f>+G47</f>
        <v>0.21069999999599531</v>
      </c>
      <c r="O47" s="46">
        <f t="shared" ref="O47" ca="1" si="9">+C$11+C$12*$F47</f>
        <v>0.20914709015057731</v>
      </c>
      <c r="Q47" s="57">
        <f t="shared" ref="Q47" si="10">+C47-15018.5</f>
        <v>44998.950700000001</v>
      </c>
    </row>
    <row r="48" spans="1:17" s="46" customFormat="1" ht="12.95" customHeight="1" x14ac:dyDescent="0.2">
      <c r="C48" s="52"/>
      <c r="D48" s="52"/>
    </row>
    <row r="49" spans="3:4" s="46" customFormat="1" ht="12.95" customHeight="1" x14ac:dyDescent="0.2">
      <c r="C49" s="52"/>
      <c r="D49" s="52"/>
    </row>
    <row r="50" spans="3:4" s="46" customFormat="1" ht="12.95" customHeight="1" x14ac:dyDescent="0.2">
      <c r="C50" s="52"/>
      <c r="D50" s="52"/>
    </row>
    <row r="51" spans="3:4" s="46" customFormat="1" ht="12.95" customHeight="1" x14ac:dyDescent="0.2">
      <c r="C51" s="52"/>
      <c r="D51" s="52"/>
    </row>
    <row r="52" spans="3:4" s="46" customFormat="1" ht="12.95" customHeight="1" x14ac:dyDescent="0.2">
      <c r="C52" s="52"/>
      <c r="D52" s="52"/>
    </row>
    <row r="53" spans="3:4" s="46" customFormat="1" ht="12.95" customHeight="1" x14ac:dyDescent="0.2">
      <c r="C53" s="52"/>
      <c r="D53" s="52"/>
    </row>
    <row r="54" spans="3:4" s="46" customFormat="1" ht="12.95" customHeight="1" x14ac:dyDescent="0.2">
      <c r="C54" s="52"/>
      <c r="D54" s="52"/>
    </row>
    <row r="55" spans="3:4" s="46" customFormat="1" ht="12.95" customHeight="1" x14ac:dyDescent="0.2">
      <c r="C55" s="52"/>
      <c r="D55" s="52"/>
    </row>
    <row r="56" spans="3:4" s="46" customFormat="1" ht="12.95" customHeight="1" x14ac:dyDescent="0.2">
      <c r="C56" s="52"/>
      <c r="D56" s="52"/>
    </row>
    <row r="57" spans="3:4" s="46" customFormat="1" ht="12.95" customHeight="1" x14ac:dyDescent="0.2">
      <c r="C57" s="52"/>
      <c r="D57" s="52"/>
    </row>
    <row r="58" spans="3:4" s="46" customFormat="1" ht="12.95" customHeight="1" x14ac:dyDescent="0.2">
      <c r="C58" s="52"/>
      <c r="D58" s="52"/>
    </row>
    <row r="59" spans="3:4" s="46" customFormat="1" ht="12.95" customHeight="1" x14ac:dyDescent="0.2">
      <c r="C59" s="52"/>
      <c r="D59" s="52"/>
    </row>
    <row r="60" spans="3:4" s="46" customFormat="1" ht="12.95" customHeight="1" x14ac:dyDescent="0.2">
      <c r="C60" s="52"/>
      <c r="D60" s="52"/>
    </row>
    <row r="61" spans="3:4" s="46" customFormat="1" ht="12.95" customHeight="1" x14ac:dyDescent="0.2">
      <c r="C61" s="52"/>
      <c r="D61" s="52"/>
    </row>
    <row r="62" spans="3:4" s="46" customFormat="1" ht="12.95" customHeight="1" x14ac:dyDescent="0.2">
      <c r="C62" s="52"/>
      <c r="D62" s="52"/>
    </row>
    <row r="63" spans="3:4" s="46" customFormat="1" ht="12.95" customHeight="1" x14ac:dyDescent="0.2">
      <c r="C63" s="52"/>
      <c r="D63" s="52"/>
    </row>
    <row r="64" spans="3:4" s="46" customFormat="1" ht="12.95" customHeight="1" x14ac:dyDescent="0.2">
      <c r="C64" s="52"/>
      <c r="D64" s="52"/>
    </row>
    <row r="65" spans="3:4" s="46" customFormat="1" ht="12.95" customHeight="1" x14ac:dyDescent="0.2">
      <c r="C65" s="52"/>
      <c r="D65" s="52"/>
    </row>
    <row r="66" spans="3:4" s="46" customFormat="1" ht="12.95" customHeight="1" x14ac:dyDescent="0.2">
      <c r="C66" s="52"/>
      <c r="D66" s="52"/>
    </row>
    <row r="67" spans="3:4" s="46" customFormat="1" ht="12.95" customHeight="1" x14ac:dyDescent="0.2">
      <c r="C67" s="52"/>
      <c r="D67" s="52"/>
    </row>
    <row r="68" spans="3:4" s="46" customFormat="1" ht="12.95" customHeight="1" x14ac:dyDescent="0.2">
      <c r="C68" s="52"/>
      <c r="D68" s="52"/>
    </row>
    <row r="69" spans="3:4" s="46" customFormat="1" ht="12.95" customHeight="1" x14ac:dyDescent="0.2">
      <c r="C69" s="52"/>
      <c r="D69" s="52"/>
    </row>
    <row r="70" spans="3:4" s="46" customFormat="1" ht="12.95" customHeight="1" x14ac:dyDescent="0.2">
      <c r="C70" s="52"/>
      <c r="D70" s="52"/>
    </row>
    <row r="71" spans="3:4" s="46" customFormat="1" ht="12.95" customHeight="1" x14ac:dyDescent="0.2">
      <c r="C71" s="52"/>
      <c r="D71" s="52"/>
    </row>
    <row r="72" spans="3:4" s="46" customFormat="1" ht="12.95" customHeight="1" x14ac:dyDescent="0.2">
      <c r="C72" s="52"/>
      <c r="D72" s="52"/>
    </row>
    <row r="73" spans="3:4" s="46" customFormat="1" ht="12.95" customHeight="1" x14ac:dyDescent="0.2">
      <c r="C73" s="52"/>
      <c r="D73" s="52"/>
    </row>
    <row r="74" spans="3:4" s="46" customFormat="1" ht="12.95" customHeight="1" x14ac:dyDescent="0.2">
      <c r="C74" s="52"/>
      <c r="D74" s="52"/>
    </row>
    <row r="75" spans="3:4" s="46" customFormat="1" ht="12.95" customHeight="1" x14ac:dyDescent="0.2">
      <c r="C75" s="52"/>
      <c r="D75" s="52"/>
    </row>
    <row r="76" spans="3:4" s="46" customFormat="1" ht="12.95" customHeight="1" x14ac:dyDescent="0.2">
      <c r="C76" s="52"/>
      <c r="D76" s="52"/>
    </row>
    <row r="77" spans="3:4" s="46" customFormat="1" ht="12.95" customHeight="1" x14ac:dyDescent="0.2">
      <c r="C77" s="52"/>
      <c r="D77" s="52"/>
    </row>
    <row r="78" spans="3:4" s="46" customFormat="1" ht="12.95" customHeight="1" x14ac:dyDescent="0.2">
      <c r="C78" s="52"/>
      <c r="D78" s="52"/>
    </row>
    <row r="79" spans="3:4" s="46" customFormat="1" ht="12.95" customHeight="1" x14ac:dyDescent="0.2">
      <c r="C79" s="52"/>
      <c r="D79" s="52"/>
    </row>
    <row r="80" spans="3:4" s="46" customFormat="1" ht="12.95" customHeight="1" x14ac:dyDescent="0.2">
      <c r="C80" s="52"/>
      <c r="D80" s="52"/>
    </row>
    <row r="81" spans="3:4" s="46" customFormat="1" ht="12.95" customHeight="1" x14ac:dyDescent="0.2">
      <c r="C81" s="52"/>
      <c r="D81" s="52"/>
    </row>
    <row r="82" spans="3:4" s="46" customFormat="1" ht="12.95" customHeight="1" x14ac:dyDescent="0.2">
      <c r="C82" s="52"/>
      <c r="D82" s="52"/>
    </row>
    <row r="83" spans="3:4" s="46" customFormat="1" ht="12.95" customHeight="1" x14ac:dyDescent="0.2">
      <c r="C83" s="52"/>
      <c r="D83" s="52"/>
    </row>
    <row r="84" spans="3:4" s="46" customFormat="1" ht="12.95" customHeight="1" x14ac:dyDescent="0.2">
      <c r="C84" s="52"/>
      <c r="D84" s="52"/>
    </row>
    <row r="85" spans="3:4" s="46" customFormat="1" ht="12.95" customHeight="1" x14ac:dyDescent="0.2">
      <c r="C85" s="52"/>
      <c r="D85" s="52"/>
    </row>
    <row r="86" spans="3:4" s="46" customFormat="1" ht="12.95" customHeight="1" x14ac:dyDescent="0.2">
      <c r="C86" s="52"/>
      <c r="D86" s="52"/>
    </row>
    <row r="87" spans="3:4" s="46" customFormat="1" ht="12.95" customHeight="1" x14ac:dyDescent="0.2">
      <c r="C87" s="52"/>
      <c r="D87" s="52"/>
    </row>
    <row r="88" spans="3:4" s="46" customFormat="1" ht="12.95" customHeight="1" x14ac:dyDescent="0.2">
      <c r="C88" s="52"/>
      <c r="D88" s="52"/>
    </row>
    <row r="89" spans="3:4" s="46" customFormat="1" ht="12.95" customHeight="1" x14ac:dyDescent="0.2">
      <c r="C89" s="52"/>
      <c r="D89" s="52"/>
    </row>
    <row r="90" spans="3:4" s="46" customFormat="1" ht="12.95" customHeight="1" x14ac:dyDescent="0.2">
      <c r="C90" s="52"/>
      <c r="D90" s="52"/>
    </row>
    <row r="91" spans="3:4" s="46" customFormat="1" ht="12.95" customHeight="1" x14ac:dyDescent="0.2">
      <c r="C91" s="52"/>
      <c r="D91" s="52"/>
    </row>
    <row r="92" spans="3:4" s="46" customFormat="1" ht="12.95" customHeight="1" x14ac:dyDescent="0.2">
      <c r="C92" s="52"/>
      <c r="D92" s="52"/>
    </row>
    <row r="93" spans="3:4" s="46" customFormat="1" ht="12.95" customHeight="1" x14ac:dyDescent="0.2">
      <c r="C93" s="52"/>
      <c r="D93" s="52"/>
    </row>
    <row r="94" spans="3:4" s="46" customFormat="1" ht="12.95" customHeight="1" x14ac:dyDescent="0.2">
      <c r="C94" s="52"/>
      <c r="D94" s="52"/>
    </row>
    <row r="95" spans="3:4" s="46" customFormat="1" ht="12.95" customHeight="1" x14ac:dyDescent="0.2">
      <c r="C95" s="52"/>
      <c r="D95" s="52"/>
    </row>
    <row r="96" spans="3:4" s="46" customFormat="1" ht="12.95" customHeight="1" x14ac:dyDescent="0.2">
      <c r="C96" s="52"/>
      <c r="D96" s="52"/>
    </row>
    <row r="97" spans="3:4" s="46" customFormat="1" ht="12.95" customHeight="1" x14ac:dyDescent="0.2">
      <c r="C97" s="52"/>
      <c r="D97" s="52"/>
    </row>
    <row r="98" spans="3:4" s="46" customFormat="1" ht="12.95" customHeight="1" x14ac:dyDescent="0.2">
      <c r="C98" s="52"/>
      <c r="D98" s="52"/>
    </row>
    <row r="99" spans="3:4" s="46" customFormat="1" ht="12.95" customHeight="1" x14ac:dyDescent="0.2">
      <c r="C99" s="52"/>
      <c r="D99" s="52"/>
    </row>
    <row r="100" spans="3:4" s="46" customFormat="1" ht="12.95" customHeight="1" x14ac:dyDescent="0.2">
      <c r="C100" s="52"/>
      <c r="D100" s="52"/>
    </row>
    <row r="101" spans="3:4" s="46" customFormat="1" ht="12.95" customHeight="1" x14ac:dyDescent="0.2">
      <c r="C101" s="52"/>
      <c r="D101" s="52"/>
    </row>
    <row r="102" spans="3:4" s="46" customFormat="1" ht="12.95" customHeight="1" x14ac:dyDescent="0.2">
      <c r="C102" s="52"/>
      <c r="D102" s="52"/>
    </row>
    <row r="103" spans="3:4" s="46" customFormat="1" ht="12.95" customHeight="1" x14ac:dyDescent="0.2">
      <c r="C103" s="52"/>
      <c r="D103" s="52"/>
    </row>
    <row r="104" spans="3:4" s="46" customFormat="1" ht="12.95" customHeight="1" x14ac:dyDescent="0.2">
      <c r="C104" s="52"/>
      <c r="D104" s="52"/>
    </row>
    <row r="105" spans="3:4" s="46" customFormat="1" ht="12.95" customHeight="1" x14ac:dyDescent="0.2">
      <c r="C105" s="52"/>
      <c r="D105" s="52"/>
    </row>
    <row r="106" spans="3:4" s="46" customFormat="1" ht="12.95" customHeight="1" x14ac:dyDescent="0.2">
      <c r="C106" s="52"/>
      <c r="D106" s="52"/>
    </row>
    <row r="107" spans="3:4" s="46" customFormat="1" ht="12.95" customHeight="1" x14ac:dyDescent="0.2">
      <c r="C107" s="52"/>
      <c r="D107" s="52"/>
    </row>
    <row r="108" spans="3:4" s="46" customFormat="1" ht="12.95" customHeight="1" x14ac:dyDescent="0.2">
      <c r="C108" s="52"/>
      <c r="D108" s="52"/>
    </row>
    <row r="109" spans="3:4" s="46" customFormat="1" ht="12.95" customHeight="1" x14ac:dyDescent="0.2">
      <c r="C109" s="52"/>
      <c r="D109" s="52"/>
    </row>
    <row r="110" spans="3:4" s="46" customFormat="1" ht="12.95" customHeight="1" x14ac:dyDescent="0.2">
      <c r="C110" s="52"/>
      <c r="D110" s="52"/>
    </row>
    <row r="111" spans="3:4" s="46" customFormat="1" ht="12.95" customHeight="1" x14ac:dyDescent="0.2">
      <c r="C111" s="52"/>
      <c r="D111" s="52"/>
    </row>
    <row r="112" spans="3:4" s="46" customFormat="1" ht="12.95" customHeight="1" x14ac:dyDescent="0.2">
      <c r="C112" s="52"/>
      <c r="D112" s="52"/>
    </row>
    <row r="113" spans="3:4" s="46" customFormat="1" ht="12.95" customHeight="1" x14ac:dyDescent="0.2">
      <c r="C113" s="52"/>
      <c r="D113" s="52"/>
    </row>
    <row r="114" spans="3:4" s="46" customFormat="1" ht="12.95" customHeight="1" x14ac:dyDescent="0.2">
      <c r="C114" s="52"/>
      <c r="D114" s="52"/>
    </row>
    <row r="115" spans="3:4" s="46" customFormat="1" ht="12.95" customHeight="1" x14ac:dyDescent="0.2">
      <c r="C115" s="52"/>
      <c r="D115" s="52"/>
    </row>
    <row r="116" spans="3:4" s="46" customFormat="1" ht="12.95" customHeight="1" x14ac:dyDescent="0.2">
      <c r="C116" s="52"/>
      <c r="D116" s="52"/>
    </row>
    <row r="117" spans="3:4" s="46" customFormat="1" ht="12.95" customHeight="1" x14ac:dyDescent="0.2">
      <c r="C117" s="52"/>
      <c r="D117" s="52"/>
    </row>
    <row r="118" spans="3:4" s="46" customFormat="1" ht="12.95" customHeight="1" x14ac:dyDescent="0.2">
      <c r="C118" s="52"/>
      <c r="D118" s="52"/>
    </row>
    <row r="119" spans="3:4" s="46" customFormat="1" ht="12.95" customHeight="1" x14ac:dyDescent="0.2">
      <c r="C119" s="52"/>
      <c r="D119" s="52"/>
    </row>
    <row r="120" spans="3:4" s="46" customFormat="1" ht="12.95" customHeight="1" x14ac:dyDescent="0.2">
      <c r="C120" s="52"/>
      <c r="D120" s="52"/>
    </row>
    <row r="121" spans="3:4" s="46" customFormat="1" ht="12.95" customHeight="1" x14ac:dyDescent="0.2">
      <c r="C121" s="52"/>
      <c r="D121" s="52"/>
    </row>
    <row r="122" spans="3:4" s="46" customFormat="1" ht="12.95" customHeight="1" x14ac:dyDescent="0.2">
      <c r="C122" s="52"/>
      <c r="D122" s="52"/>
    </row>
    <row r="123" spans="3:4" s="46" customFormat="1" ht="12.95" customHeight="1" x14ac:dyDescent="0.2">
      <c r="C123" s="52"/>
      <c r="D123" s="52"/>
    </row>
    <row r="124" spans="3:4" s="46" customFormat="1" ht="12.95" customHeight="1" x14ac:dyDescent="0.2">
      <c r="C124" s="52"/>
      <c r="D124" s="52"/>
    </row>
    <row r="125" spans="3:4" s="46" customFormat="1" ht="12.95" customHeight="1" x14ac:dyDescent="0.2">
      <c r="C125" s="52"/>
      <c r="D125" s="52"/>
    </row>
    <row r="126" spans="3:4" s="46" customFormat="1" ht="12.95" customHeight="1" x14ac:dyDescent="0.2">
      <c r="C126" s="52"/>
      <c r="D126" s="52"/>
    </row>
    <row r="127" spans="3:4" s="46" customFormat="1" ht="12.95" customHeight="1" x14ac:dyDescent="0.2">
      <c r="C127" s="52"/>
      <c r="D127" s="52"/>
    </row>
    <row r="128" spans="3:4" s="46" customFormat="1" ht="12.95" customHeight="1" x14ac:dyDescent="0.2">
      <c r="C128" s="52"/>
      <c r="D128" s="52"/>
    </row>
    <row r="129" spans="3:4" s="46" customFormat="1" ht="12.95" customHeight="1" x14ac:dyDescent="0.2">
      <c r="C129" s="52"/>
      <c r="D129" s="52"/>
    </row>
    <row r="130" spans="3:4" s="46" customFormat="1" ht="12.95" customHeight="1" x14ac:dyDescent="0.2">
      <c r="C130" s="52"/>
      <c r="D130" s="52"/>
    </row>
    <row r="131" spans="3:4" s="46" customFormat="1" ht="12.95" customHeight="1" x14ac:dyDescent="0.2">
      <c r="C131" s="52"/>
      <c r="D131" s="52"/>
    </row>
    <row r="132" spans="3:4" s="46" customFormat="1" ht="12.95" customHeight="1" x14ac:dyDescent="0.2">
      <c r="C132" s="52"/>
      <c r="D132" s="52"/>
    </row>
    <row r="133" spans="3:4" s="46" customFormat="1" ht="12.95" customHeight="1" x14ac:dyDescent="0.2">
      <c r="C133" s="52"/>
      <c r="D133" s="52"/>
    </row>
    <row r="134" spans="3:4" s="46" customFormat="1" ht="12.95" customHeight="1" x14ac:dyDescent="0.2">
      <c r="C134" s="52"/>
      <c r="D134" s="52"/>
    </row>
    <row r="135" spans="3:4" s="46" customFormat="1" ht="12.95" customHeight="1" x14ac:dyDescent="0.2">
      <c r="C135" s="52"/>
      <c r="D135" s="52"/>
    </row>
    <row r="136" spans="3:4" s="46" customFormat="1" ht="12.95" customHeight="1" x14ac:dyDescent="0.2">
      <c r="C136" s="52"/>
      <c r="D136" s="52"/>
    </row>
    <row r="137" spans="3:4" s="46" customFormat="1" ht="12.95" customHeight="1" x14ac:dyDescent="0.2">
      <c r="C137" s="52"/>
      <c r="D137" s="52"/>
    </row>
    <row r="138" spans="3:4" s="46" customFormat="1" ht="12.95" customHeight="1" x14ac:dyDescent="0.2">
      <c r="C138" s="52"/>
      <c r="D138" s="52"/>
    </row>
    <row r="139" spans="3:4" s="46" customFormat="1" ht="12.95" customHeight="1" x14ac:dyDescent="0.2">
      <c r="C139" s="52"/>
      <c r="D139" s="52"/>
    </row>
    <row r="140" spans="3:4" s="46" customFormat="1" ht="12.95" customHeight="1" x14ac:dyDescent="0.2">
      <c r="C140" s="52"/>
      <c r="D140" s="52"/>
    </row>
    <row r="141" spans="3:4" s="46" customFormat="1" ht="12.95" customHeight="1" x14ac:dyDescent="0.2">
      <c r="C141" s="52"/>
      <c r="D141" s="52"/>
    </row>
    <row r="142" spans="3:4" s="46" customFormat="1" ht="12.95" customHeight="1" x14ac:dyDescent="0.2">
      <c r="C142" s="52"/>
      <c r="D142" s="52"/>
    </row>
    <row r="143" spans="3:4" s="46" customFormat="1" ht="12.95" customHeight="1" x14ac:dyDescent="0.2">
      <c r="C143" s="52"/>
      <c r="D143" s="52"/>
    </row>
    <row r="144" spans="3:4" s="46" customFormat="1" ht="12.95" customHeight="1" x14ac:dyDescent="0.2">
      <c r="C144" s="52"/>
      <c r="D144" s="52"/>
    </row>
    <row r="145" spans="3:4" s="46" customFormat="1" ht="12.95" customHeight="1" x14ac:dyDescent="0.2">
      <c r="C145" s="52"/>
      <c r="D145" s="52"/>
    </row>
    <row r="146" spans="3:4" s="46" customFormat="1" ht="12.95" customHeight="1" x14ac:dyDescent="0.2">
      <c r="C146" s="52"/>
      <c r="D146" s="52"/>
    </row>
    <row r="147" spans="3:4" s="46" customFormat="1" ht="12.95" customHeight="1" x14ac:dyDescent="0.2">
      <c r="C147" s="52"/>
      <c r="D147" s="52"/>
    </row>
    <row r="148" spans="3:4" s="46" customFormat="1" ht="12.95" customHeight="1" x14ac:dyDescent="0.2">
      <c r="C148" s="52"/>
      <c r="D148" s="52"/>
    </row>
    <row r="149" spans="3:4" s="46" customFormat="1" ht="12.95" customHeight="1" x14ac:dyDescent="0.2">
      <c r="C149" s="52"/>
      <c r="D149" s="52"/>
    </row>
    <row r="150" spans="3:4" s="46" customFormat="1" ht="12.95" customHeight="1" x14ac:dyDescent="0.2">
      <c r="C150" s="52"/>
      <c r="D150" s="52"/>
    </row>
    <row r="151" spans="3:4" s="46" customFormat="1" ht="12.95" customHeight="1" x14ac:dyDescent="0.2">
      <c r="C151" s="52"/>
      <c r="D151" s="52"/>
    </row>
    <row r="152" spans="3:4" s="46" customFormat="1" ht="12.95" customHeight="1" x14ac:dyDescent="0.2">
      <c r="C152" s="52"/>
      <c r="D152" s="52"/>
    </row>
    <row r="153" spans="3:4" s="46" customFormat="1" ht="12.95" customHeight="1" x14ac:dyDescent="0.2">
      <c r="C153" s="52"/>
      <c r="D153" s="52"/>
    </row>
    <row r="154" spans="3:4" s="46" customFormat="1" ht="12.95" customHeight="1" x14ac:dyDescent="0.2">
      <c r="C154" s="52"/>
      <c r="D154" s="52"/>
    </row>
    <row r="155" spans="3:4" s="46" customFormat="1" ht="12.95" customHeight="1" x14ac:dyDescent="0.2">
      <c r="C155" s="52"/>
      <c r="D155" s="52"/>
    </row>
    <row r="156" spans="3:4" s="46" customFormat="1" ht="12.95" customHeight="1" x14ac:dyDescent="0.2">
      <c r="C156" s="52"/>
      <c r="D156" s="52"/>
    </row>
    <row r="157" spans="3:4" s="46" customFormat="1" ht="12.95" customHeight="1" x14ac:dyDescent="0.2">
      <c r="C157" s="52"/>
      <c r="D157" s="52"/>
    </row>
    <row r="158" spans="3:4" s="46" customFormat="1" ht="12.95" customHeight="1" x14ac:dyDescent="0.2">
      <c r="C158" s="52"/>
      <c r="D158" s="52"/>
    </row>
    <row r="159" spans="3:4" s="46" customFormat="1" ht="12.95" customHeight="1" x14ac:dyDescent="0.2">
      <c r="C159" s="52"/>
      <c r="D159" s="52"/>
    </row>
    <row r="160" spans="3:4" s="46" customFormat="1" ht="12.95" customHeight="1" x14ac:dyDescent="0.2">
      <c r="C160" s="52"/>
      <c r="D160" s="52"/>
    </row>
    <row r="161" spans="3:4" s="46" customFormat="1" ht="12.95" customHeight="1" x14ac:dyDescent="0.2">
      <c r="C161" s="52"/>
      <c r="D161" s="52"/>
    </row>
    <row r="162" spans="3:4" s="46" customFormat="1" ht="12.95" customHeight="1" x14ac:dyDescent="0.2">
      <c r="C162" s="52"/>
      <c r="D162" s="52"/>
    </row>
    <row r="163" spans="3:4" s="46" customFormat="1" ht="12.95" customHeight="1" x14ac:dyDescent="0.2">
      <c r="C163" s="52"/>
      <c r="D163" s="52"/>
    </row>
    <row r="164" spans="3:4" s="46" customFormat="1" ht="12.95" customHeight="1" x14ac:dyDescent="0.2">
      <c r="C164" s="52"/>
      <c r="D164" s="52"/>
    </row>
    <row r="165" spans="3:4" s="46" customFormat="1" ht="12.95" customHeight="1" x14ac:dyDescent="0.2">
      <c r="C165" s="52"/>
      <c r="D165" s="52"/>
    </row>
    <row r="166" spans="3:4" s="46" customFormat="1" ht="12.95" customHeight="1" x14ac:dyDescent="0.2">
      <c r="C166" s="52"/>
      <c r="D166" s="52"/>
    </row>
    <row r="167" spans="3:4" s="46" customFormat="1" ht="12.95" customHeight="1" x14ac:dyDescent="0.2">
      <c r="C167" s="52"/>
      <c r="D167" s="52"/>
    </row>
    <row r="168" spans="3:4" s="46" customFormat="1" ht="12.95" customHeight="1" x14ac:dyDescent="0.2">
      <c r="C168" s="52"/>
      <c r="D168" s="52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5"/>
  <sheetViews>
    <sheetView workbookViewId="0">
      <selection activeCell="A11" sqref="A11:D35"/>
    </sheetView>
  </sheetViews>
  <sheetFormatPr defaultRowHeight="12.75" x14ac:dyDescent="0.2"/>
  <cols>
    <col min="1" max="1" width="19.7109375" style="4" customWidth="1"/>
    <col min="2" max="2" width="4.42578125" style="6" customWidth="1"/>
    <col min="3" max="3" width="12.7109375" style="4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4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28" t="s">
        <v>41</v>
      </c>
      <c r="I1" s="29" t="s">
        <v>42</v>
      </c>
      <c r="J1" s="30" t="s">
        <v>40</v>
      </c>
    </row>
    <row r="2" spans="1:16" x14ac:dyDescent="0.2">
      <c r="I2" s="31" t="s">
        <v>43</v>
      </c>
      <c r="J2" s="32" t="s">
        <v>39</v>
      </c>
    </row>
    <row r="3" spans="1:16" x14ac:dyDescent="0.2">
      <c r="A3" s="33" t="s">
        <v>44</v>
      </c>
      <c r="I3" s="31" t="s">
        <v>45</v>
      </c>
      <c r="J3" s="32" t="s">
        <v>37</v>
      </c>
    </row>
    <row r="4" spans="1:16" x14ac:dyDescent="0.2">
      <c r="I4" s="31" t="s">
        <v>46</v>
      </c>
      <c r="J4" s="32" t="s">
        <v>37</v>
      </c>
    </row>
    <row r="5" spans="1:16" ht="13.5" thickBot="1" x14ac:dyDescent="0.25">
      <c r="I5" s="34" t="s">
        <v>47</v>
      </c>
      <c r="J5" s="35" t="s">
        <v>38</v>
      </c>
    </row>
    <row r="10" spans="1:16" ht="13.5" thickBot="1" x14ac:dyDescent="0.25"/>
    <row r="11" spans="1:16" ht="12.75" customHeight="1" thickBot="1" x14ac:dyDescent="0.25">
      <c r="A11" s="4" t="str">
        <f t="shared" ref="A11:A35" si="0">P11</f>
        <v> AN 253.212 </v>
      </c>
      <c r="B11" s="2" t="str">
        <f t="shared" ref="B11:B35" si="1">IF(H11=INT(H11),"I","II")</f>
        <v>I</v>
      </c>
      <c r="C11" s="4">
        <f t="shared" ref="C11:C35" si="2">1*G11</f>
        <v>25556.530999999999</v>
      </c>
      <c r="D11" s="6" t="str">
        <f t="shared" ref="D11:D35" si="3">VLOOKUP(F11,I$1:J$5,2,FALSE)</f>
        <v>vis</v>
      </c>
      <c r="E11" s="36">
        <f>VLOOKUP(C11,Active!C$21:E$973,3,FALSE)</f>
        <v>-89.008323911814571</v>
      </c>
      <c r="F11" s="2" t="s">
        <v>47</v>
      </c>
      <c r="G11" s="6" t="str">
        <f t="shared" ref="G11:G35" si="4">MID(I11,3,LEN(I11)-3)</f>
        <v>25556.531</v>
      </c>
      <c r="H11" s="4">
        <f t="shared" ref="H11:H35" si="5">1*K11</f>
        <v>-382</v>
      </c>
      <c r="I11" s="37" t="s">
        <v>52</v>
      </c>
      <c r="J11" s="38" t="s">
        <v>53</v>
      </c>
      <c r="K11" s="37">
        <v>-382</v>
      </c>
      <c r="L11" s="37" t="s">
        <v>54</v>
      </c>
      <c r="M11" s="38" t="s">
        <v>55</v>
      </c>
      <c r="N11" s="38"/>
      <c r="O11" s="39" t="s">
        <v>56</v>
      </c>
      <c r="P11" s="39" t="s">
        <v>57</v>
      </c>
    </row>
    <row r="12" spans="1:16" ht="12.75" customHeight="1" thickBot="1" x14ac:dyDescent="0.25">
      <c r="A12" s="4" t="str">
        <f t="shared" si="0"/>
        <v> AN 253.212 </v>
      </c>
      <c r="B12" s="2" t="str">
        <f t="shared" si="1"/>
        <v>I</v>
      </c>
      <c r="C12" s="4">
        <f t="shared" si="2"/>
        <v>25981.481</v>
      </c>
      <c r="D12" s="6" t="str">
        <f t="shared" si="3"/>
        <v>vis</v>
      </c>
      <c r="E12" s="36">
        <f>VLOOKUP(C12,Active!C$21:E$973,3,FALSE)</f>
        <v>-83.002812323346504</v>
      </c>
      <c r="F12" s="2" t="s">
        <v>47</v>
      </c>
      <c r="G12" s="6" t="str">
        <f t="shared" si="4"/>
        <v>25981.481</v>
      </c>
      <c r="H12" s="4">
        <f t="shared" si="5"/>
        <v>-376</v>
      </c>
      <c r="I12" s="37" t="s">
        <v>58</v>
      </c>
      <c r="J12" s="38" t="s">
        <v>59</v>
      </c>
      <c r="K12" s="37">
        <v>-376</v>
      </c>
      <c r="L12" s="37" t="s">
        <v>60</v>
      </c>
      <c r="M12" s="38" t="s">
        <v>55</v>
      </c>
      <c r="N12" s="38"/>
      <c r="O12" s="39" t="s">
        <v>56</v>
      </c>
      <c r="P12" s="39" t="s">
        <v>57</v>
      </c>
    </row>
    <row r="13" spans="1:16" ht="12.75" customHeight="1" thickBot="1" x14ac:dyDescent="0.25">
      <c r="A13" s="4" t="str">
        <f t="shared" si="0"/>
        <v> AN 253.212 </v>
      </c>
      <c r="B13" s="2" t="str">
        <f t="shared" si="1"/>
        <v>I</v>
      </c>
      <c r="C13" s="4">
        <f t="shared" si="2"/>
        <v>27396.495999999999</v>
      </c>
      <c r="D13" s="6" t="str">
        <f t="shared" si="3"/>
        <v>vis</v>
      </c>
      <c r="E13" s="36">
        <f>VLOOKUP(C13,Active!C$21:E$973,3,FALSE)</f>
        <v>-63.005426794799305</v>
      </c>
      <c r="F13" s="2" t="s">
        <v>47</v>
      </c>
      <c r="G13" s="6" t="str">
        <f t="shared" si="4"/>
        <v>27396.496</v>
      </c>
      <c r="H13" s="4">
        <f t="shared" si="5"/>
        <v>-356</v>
      </c>
      <c r="I13" s="37" t="s">
        <v>61</v>
      </c>
      <c r="J13" s="38" t="s">
        <v>62</v>
      </c>
      <c r="K13" s="37">
        <v>-356</v>
      </c>
      <c r="L13" s="37" t="s">
        <v>63</v>
      </c>
      <c r="M13" s="38" t="s">
        <v>55</v>
      </c>
      <c r="N13" s="38"/>
      <c r="O13" s="39" t="s">
        <v>56</v>
      </c>
      <c r="P13" s="39" t="s">
        <v>57</v>
      </c>
    </row>
    <row r="14" spans="1:16" ht="12.75" customHeight="1" thickBot="1" x14ac:dyDescent="0.25">
      <c r="A14" s="4" t="str">
        <f t="shared" si="0"/>
        <v> AN 253.212 </v>
      </c>
      <c r="B14" s="2" t="str">
        <f t="shared" si="1"/>
        <v>I</v>
      </c>
      <c r="C14" s="4">
        <f t="shared" si="2"/>
        <v>27397.621999999999</v>
      </c>
      <c r="D14" s="6" t="str">
        <f t="shared" si="3"/>
        <v>vis</v>
      </c>
      <c r="E14" s="36">
        <f>VLOOKUP(C14,Active!C$21:E$973,3,FALSE)</f>
        <v>-62.989513849632544</v>
      </c>
      <c r="F14" s="2" t="s">
        <v>47</v>
      </c>
      <c r="G14" s="6" t="str">
        <f t="shared" si="4"/>
        <v>27397.622</v>
      </c>
      <c r="H14" s="4">
        <f t="shared" si="5"/>
        <v>-356</v>
      </c>
      <c r="I14" s="37" t="s">
        <v>64</v>
      </c>
      <c r="J14" s="38" t="s">
        <v>65</v>
      </c>
      <c r="K14" s="37">
        <v>-356</v>
      </c>
      <c r="L14" s="37" t="s">
        <v>66</v>
      </c>
      <c r="M14" s="38" t="s">
        <v>55</v>
      </c>
      <c r="N14" s="38"/>
      <c r="O14" s="39" t="s">
        <v>56</v>
      </c>
      <c r="P14" s="39" t="s">
        <v>57</v>
      </c>
    </row>
    <row r="15" spans="1:16" ht="12.75" customHeight="1" thickBot="1" x14ac:dyDescent="0.25">
      <c r="A15" s="4" t="str">
        <f t="shared" si="0"/>
        <v> AN 277.43 </v>
      </c>
      <c r="B15" s="2" t="str">
        <f t="shared" si="1"/>
        <v>I</v>
      </c>
      <c r="C15" s="4">
        <f t="shared" si="2"/>
        <v>28882.560000000001</v>
      </c>
      <c r="D15" s="6" t="str">
        <f t="shared" si="3"/>
        <v>vis</v>
      </c>
      <c r="E15" s="36">
        <f>VLOOKUP(C15,Active!C$21:E$973,3,FALSE)</f>
        <v>-42.003957037874464</v>
      </c>
      <c r="F15" s="2" t="s">
        <v>47</v>
      </c>
      <c r="G15" s="6" t="str">
        <f t="shared" si="4"/>
        <v>28882.560</v>
      </c>
      <c r="H15" s="4">
        <f t="shared" si="5"/>
        <v>-335</v>
      </c>
      <c r="I15" s="37" t="s">
        <v>67</v>
      </c>
      <c r="J15" s="38" t="s">
        <v>68</v>
      </c>
      <c r="K15" s="37">
        <v>-335</v>
      </c>
      <c r="L15" s="37" t="s">
        <v>69</v>
      </c>
      <c r="M15" s="38" t="s">
        <v>70</v>
      </c>
      <c r="N15" s="38"/>
      <c r="O15" s="39" t="s">
        <v>71</v>
      </c>
      <c r="P15" s="39" t="s">
        <v>72</v>
      </c>
    </row>
    <row r="16" spans="1:16" ht="12.75" customHeight="1" thickBot="1" x14ac:dyDescent="0.25">
      <c r="A16" s="4" t="str">
        <f t="shared" si="0"/>
        <v> AN 277.43 </v>
      </c>
      <c r="B16" s="2" t="str">
        <f t="shared" si="1"/>
        <v>I</v>
      </c>
      <c r="C16" s="4">
        <f t="shared" si="2"/>
        <v>28953.325000000001</v>
      </c>
      <c r="D16" s="6" t="str">
        <f t="shared" si="3"/>
        <v>vis</v>
      </c>
      <c r="E16" s="36">
        <f>VLOOKUP(C16,Active!C$21:E$973,3,FALSE)</f>
        <v>-41.003886376483855</v>
      </c>
      <c r="F16" s="2" t="s">
        <v>47</v>
      </c>
      <c r="G16" s="6" t="str">
        <f t="shared" si="4"/>
        <v>28953.325</v>
      </c>
      <c r="H16" s="4">
        <f t="shared" si="5"/>
        <v>-334</v>
      </c>
      <c r="I16" s="37" t="s">
        <v>73</v>
      </c>
      <c r="J16" s="38" t="s">
        <v>74</v>
      </c>
      <c r="K16" s="37">
        <v>-334</v>
      </c>
      <c r="L16" s="37" t="s">
        <v>75</v>
      </c>
      <c r="M16" s="38" t="s">
        <v>70</v>
      </c>
      <c r="N16" s="38"/>
      <c r="O16" s="39" t="s">
        <v>71</v>
      </c>
      <c r="P16" s="39" t="s">
        <v>72</v>
      </c>
    </row>
    <row r="17" spans="1:16" ht="12.75" customHeight="1" thickBot="1" x14ac:dyDescent="0.25">
      <c r="A17" s="4" t="str">
        <f t="shared" si="0"/>
        <v> AN 277.43 </v>
      </c>
      <c r="B17" s="2" t="str">
        <f t="shared" si="1"/>
        <v>I</v>
      </c>
      <c r="C17" s="4">
        <f t="shared" si="2"/>
        <v>29024.09</v>
      </c>
      <c r="D17" s="6" t="str">
        <f t="shared" si="3"/>
        <v>vis</v>
      </c>
      <c r="E17" s="36">
        <f>VLOOKUP(C17,Active!C$21:E$973,3,FALSE)</f>
        <v>-40.003815715093246</v>
      </c>
      <c r="F17" s="2" t="s">
        <v>47</v>
      </c>
      <c r="G17" s="6" t="str">
        <f t="shared" si="4"/>
        <v>29024.090</v>
      </c>
      <c r="H17" s="4">
        <f t="shared" si="5"/>
        <v>-333</v>
      </c>
      <c r="I17" s="37" t="s">
        <v>76</v>
      </c>
      <c r="J17" s="38" t="s">
        <v>77</v>
      </c>
      <c r="K17" s="37">
        <v>-333</v>
      </c>
      <c r="L17" s="37" t="s">
        <v>78</v>
      </c>
      <c r="M17" s="38" t="s">
        <v>70</v>
      </c>
      <c r="N17" s="38"/>
      <c r="O17" s="39" t="s">
        <v>71</v>
      </c>
      <c r="P17" s="39" t="s">
        <v>72</v>
      </c>
    </row>
    <row r="18" spans="1:16" ht="12.75" customHeight="1" thickBot="1" x14ac:dyDescent="0.25">
      <c r="A18" s="4" t="str">
        <f t="shared" si="0"/>
        <v> MVS 2.149 </v>
      </c>
      <c r="B18" s="2" t="str">
        <f t="shared" si="1"/>
        <v>I</v>
      </c>
      <c r="C18" s="4">
        <f t="shared" si="2"/>
        <v>30793.4</v>
      </c>
      <c r="D18" s="6" t="str">
        <f t="shared" si="3"/>
        <v>vis</v>
      </c>
      <c r="E18" s="36">
        <f>VLOOKUP(C18,Active!C$21:E$973,3,FALSE)</f>
        <v>-14.999434708875027</v>
      </c>
      <c r="F18" s="2" t="s">
        <v>47</v>
      </c>
      <c r="G18" s="6" t="str">
        <f t="shared" si="4"/>
        <v>30793.4</v>
      </c>
      <c r="H18" s="4">
        <f t="shared" si="5"/>
        <v>-308</v>
      </c>
      <c r="I18" s="37" t="s">
        <v>79</v>
      </c>
      <c r="J18" s="38" t="s">
        <v>80</v>
      </c>
      <c r="K18" s="37">
        <v>-308</v>
      </c>
      <c r="L18" s="37" t="s">
        <v>81</v>
      </c>
      <c r="M18" s="38" t="s">
        <v>70</v>
      </c>
      <c r="N18" s="38"/>
      <c r="O18" s="39" t="s">
        <v>82</v>
      </c>
      <c r="P18" s="39" t="s">
        <v>83</v>
      </c>
    </row>
    <row r="19" spans="1:16" ht="12.75" customHeight="1" thickBot="1" x14ac:dyDescent="0.25">
      <c r="A19" s="4" t="str">
        <f t="shared" si="0"/>
        <v> AJ 63.243 </v>
      </c>
      <c r="B19" s="2" t="str">
        <f t="shared" si="1"/>
        <v>I</v>
      </c>
      <c r="C19" s="4">
        <f t="shared" si="2"/>
        <v>31500.99</v>
      </c>
      <c r="D19" s="6" t="str">
        <f t="shared" si="3"/>
        <v>vis</v>
      </c>
      <c r="E19" s="36">
        <f>VLOOKUP(C19,Active!C$21:E$973,3,FALSE)</f>
        <v>-4.9995760316562574</v>
      </c>
      <c r="F19" s="2" t="s">
        <v>47</v>
      </c>
      <c r="G19" s="6" t="str">
        <f t="shared" si="4"/>
        <v>31500.99</v>
      </c>
      <c r="H19" s="4">
        <f t="shared" si="5"/>
        <v>-298</v>
      </c>
      <c r="I19" s="37" t="s">
        <v>84</v>
      </c>
      <c r="J19" s="38" t="s">
        <v>85</v>
      </c>
      <c r="K19" s="37">
        <v>-298</v>
      </c>
      <c r="L19" s="37" t="s">
        <v>86</v>
      </c>
      <c r="M19" s="38" t="s">
        <v>48</v>
      </c>
      <c r="N19" s="38"/>
      <c r="O19" s="39" t="s">
        <v>87</v>
      </c>
      <c r="P19" s="39" t="s">
        <v>88</v>
      </c>
    </row>
    <row r="20" spans="1:16" ht="12.75" customHeight="1" thickBot="1" x14ac:dyDescent="0.25">
      <c r="A20" s="4" t="str">
        <f t="shared" si="0"/>
        <v> AJ 52.106 </v>
      </c>
      <c r="B20" s="2" t="str">
        <f t="shared" si="1"/>
        <v>I</v>
      </c>
      <c r="C20" s="4">
        <f t="shared" si="2"/>
        <v>31854.7</v>
      </c>
      <c r="D20" s="6" t="str">
        <f t="shared" si="3"/>
        <v>vis</v>
      </c>
      <c r="E20" s="36">
        <f>VLOOKUP(C20,Active!C$21:E$973,3,FALSE)</f>
        <v>-8.4793668736110356E-4</v>
      </c>
      <c r="F20" s="2" t="s">
        <v>47</v>
      </c>
      <c r="G20" s="6" t="str">
        <f t="shared" si="4"/>
        <v>31854.7</v>
      </c>
      <c r="H20" s="4">
        <f t="shared" si="5"/>
        <v>-293</v>
      </c>
      <c r="I20" s="37" t="s">
        <v>89</v>
      </c>
      <c r="J20" s="38" t="s">
        <v>90</v>
      </c>
      <c r="K20" s="37">
        <v>-293</v>
      </c>
      <c r="L20" s="37" t="s">
        <v>91</v>
      </c>
      <c r="M20" s="38" t="s">
        <v>48</v>
      </c>
      <c r="N20" s="38"/>
      <c r="O20" s="39" t="s">
        <v>92</v>
      </c>
      <c r="P20" s="39" t="s">
        <v>93</v>
      </c>
    </row>
    <row r="21" spans="1:16" ht="12.75" customHeight="1" thickBot="1" x14ac:dyDescent="0.25">
      <c r="A21" s="4" t="str">
        <f t="shared" si="0"/>
        <v> AJ 63.243 </v>
      </c>
      <c r="B21" s="2" t="str">
        <f t="shared" si="1"/>
        <v>I</v>
      </c>
      <c r="C21" s="4">
        <f t="shared" si="2"/>
        <v>31854.71</v>
      </c>
      <c r="D21" s="6" t="str">
        <f t="shared" si="3"/>
        <v>vis</v>
      </c>
      <c r="E21" s="36">
        <f>VLOOKUP(C21,Active!C$21:E$973,3,FALSE)</f>
        <v>-7.0661390615139061E-4</v>
      </c>
      <c r="F21" s="2" t="s">
        <v>47</v>
      </c>
      <c r="G21" s="6" t="str">
        <f t="shared" si="4"/>
        <v>31854.71</v>
      </c>
      <c r="H21" s="4">
        <f t="shared" si="5"/>
        <v>-293</v>
      </c>
      <c r="I21" s="37" t="s">
        <v>94</v>
      </c>
      <c r="J21" s="38" t="s">
        <v>95</v>
      </c>
      <c r="K21" s="37">
        <v>-293</v>
      </c>
      <c r="L21" s="37" t="s">
        <v>96</v>
      </c>
      <c r="M21" s="38" t="s">
        <v>48</v>
      </c>
      <c r="N21" s="38"/>
      <c r="O21" s="39" t="s">
        <v>87</v>
      </c>
      <c r="P21" s="39" t="s">
        <v>88</v>
      </c>
    </row>
    <row r="22" spans="1:16" ht="12.75" customHeight="1" thickBot="1" x14ac:dyDescent="0.25">
      <c r="A22" s="4" t="str">
        <f t="shared" si="0"/>
        <v> AJ 63.243 </v>
      </c>
      <c r="B22" s="2" t="str">
        <f t="shared" si="1"/>
        <v>I</v>
      </c>
      <c r="C22" s="4">
        <f t="shared" si="2"/>
        <v>32208.55</v>
      </c>
      <c r="D22" s="6" t="str">
        <f t="shared" si="3"/>
        <v>vis</v>
      </c>
      <c r="E22" s="36">
        <f>VLOOKUP(C22,Active!C$21:E$973,3,FALSE)</f>
        <v>4.9998586772187794</v>
      </c>
      <c r="F22" s="2" t="s">
        <v>47</v>
      </c>
      <c r="G22" s="6" t="str">
        <f t="shared" si="4"/>
        <v>32208.55</v>
      </c>
      <c r="H22" s="4">
        <f t="shared" si="5"/>
        <v>-288</v>
      </c>
      <c r="I22" s="37" t="s">
        <v>97</v>
      </c>
      <c r="J22" s="38" t="s">
        <v>98</v>
      </c>
      <c r="K22" s="37">
        <v>-288</v>
      </c>
      <c r="L22" s="37" t="s">
        <v>99</v>
      </c>
      <c r="M22" s="38" t="s">
        <v>48</v>
      </c>
      <c r="N22" s="38"/>
      <c r="O22" s="39" t="s">
        <v>87</v>
      </c>
      <c r="P22" s="39" t="s">
        <v>88</v>
      </c>
    </row>
    <row r="23" spans="1:16" ht="12.75" customHeight="1" thickBot="1" x14ac:dyDescent="0.25">
      <c r="A23" s="4" t="str">
        <f t="shared" si="0"/>
        <v> AJ 63.243 </v>
      </c>
      <c r="B23" s="2" t="str">
        <f t="shared" si="1"/>
        <v>I</v>
      </c>
      <c r="C23" s="4">
        <f t="shared" si="2"/>
        <v>32703.95</v>
      </c>
      <c r="D23" s="6" t="str">
        <f t="shared" si="3"/>
        <v>vis</v>
      </c>
      <c r="E23" s="36">
        <f>VLOOKUP(C23,Active!C$21:E$973,3,FALSE)</f>
        <v>12.000989259468659</v>
      </c>
      <c r="F23" s="2" t="s">
        <v>47</v>
      </c>
      <c r="G23" s="6" t="str">
        <f t="shared" si="4"/>
        <v>32703.95</v>
      </c>
      <c r="H23" s="4">
        <f t="shared" si="5"/>
        <v>-281</v>
      </c>
      <c r="I23" s="37" t="s">
        <v>100</v>
      </c>
      <c r="J23" s="38" t="s">
        <v>101</v>
      </c>
      <c r="K23" s="37">
        <v>-281</v>
      </c>
      <c r="L23" s="37" t="s">
        <v>102</v>
      </c>
      <c r="M23" s="38" t="s">
        <v>48</v>
      </c>
      <c r="N23" s="38"/>
      <c r="O23" s="39" t="s">
        <v>87</v>
      </c>
      <c r="P23" s="39" t="s">
        <v>88</v>
      </c>
    </row>
    <row r="24" spans="1:16" ht="12.75" customHeight="1" thickBot="1" x14ac:dyDescent="0.25">
      <c r="A24" s="4" t="str">
        <f t="shared" si="0"/>
        <v> AJ 63.243 </v>
      </c>
      <c r="B24" s="2" t="str">
        <f t="shared" si="1"/>
        <v>I</v>
      </c>
      <c r="C24" s="4">
        <f t="shared" si="2"/>
        <v>32916.129999999997</v>
      </c>
      <c r="D24" s="6" t="str">
        <f t="shared" si="3"/>
        <v>vis</v>
      </c>
      <c r="E24" s="36">
        <f>VLOOKUP(C24,Active!C$21:E$973,3,FALSE)</f>
        <v>14.999576031656288</v>
      </c>
      <c r="F24" s="2" t="s">
        <v>47</v>
      </c>
      <c r="G24" s="6" t="str">
        <f t="shared" si="4"/>
        <v>32916.13</v>
      </c>
      <c r="H24" s="4">
        <f t="shared" si="5"/>
        <v>-278</v>
      </c>
      <c r="I24" s="37" t="s">
        <v>103</v>
      </c>
      <c r="J24" s="38" t="s">
        <v>104</v>
      </c>
      <c r="K24" s="37">
        <v>-278</v>
      </c>
      <c r="L24" s="37" t="s">
        <v>105</v>
      </c>
      <c r="M24" s="38" t="s">
        <v>48</v>
      </c>
      <c r="N24" s="38"/>
      <c r="O24" s="39" t="s">
        <v>87</v>
      </c>
      <c r="P24" s="39" t="s">
        <v>88</v>
      </c>
    </row>
    <row r="25" spans="1:16" ht="12.75" customHeight="1" thickBot="1" x14ac:dyDescent="0.25">
      <c r="A25" s="4" t="str">
        <f t="shared" si="0"/>
        <v> AJ 63.243 </v>
      </c>
      <c r="B25" s="2" t="str">
        <f t="shared" si="1"/>
        <v>I</v>
      </c>
      <c r="C25" s="4">
        <f t="shared" si="2"/>
        <v>33411.5</v>
      </c>
      <c r="D25" s="6" t="str">
        <f t="shared" si="3"/>
        <v>vis</v>
      </c>
      <c r="E25" s="36">
        <f>VLOOKUP(C25,Active!C$21:E$973,3,FALSE)</f>
        <v>22.000282645562486</v>
      </c>
      <c r="F25" s="2" t="s">
        <v>47</v>
      </c>
      <c r="G25" s="6" t="str">
        <f t="shared" si="4"/>
        <v>33411.50</v>
      </c>
      <c r="H25" s="4">
        <f t="shared" si="5"/>
        <v>-271</v>
      </c>
      <c r="I25" s="37" t="s">
        <v>106</v>
      </c>
      <c r="J25" s="38" t="s">
        <v>107</v>
      </c>
      <c r="K25" s="37">
        <v>-271</v>
      </c>
      <c r="L25" s="37" t="s">
        <v>108</v>
      </c>
      <c r="M25" s="38" t="s">
        <v>48</v>
      </c>
      <c r="N25" s="38"/>
      <c r="O25" s="39" t="s">
        <v>87</v>
      </c>
      <c r="P25" s="39" t="s">
        <v>88</v>
      </c>
    </row>
    <row r="26" spans="1:16" ht="12.75" customHeight="1" thickBot="1" x14ac:dyDescent="0.25">
      <c r="A26" s="4" t="str">
        <f t="shared" si="0"/>
        <v> AJ 63.243 </v>
      </c>
      <c r="B26" s="2" t="str">
        <f t="shared" si="1"/>
        <v>I</v>
      </c>
      <c r="C26" s="4">
        <f t="shared" si="2"/>
        <v>34331.339999999997</v>
      </c>
      <c r="D26" s="6" t="str">
        <f t="shared" si="3"/>
        <v>vis</v>
      </c>
      <c r="E26" s="36">
        <f>VLOOKUP(C26,Active!C$21:E$973,3,FALSE)</f>
        <v>34.999717354437507</v>
      </c>
      <c r="F26" s="2" t="s">
        <v>47</v>
      </c>
      <c r="G26" s="6" t="str">
        <f t="shared" si="4"/>
        <v>34331.34</v>
      </c>
      <c r="H26" s="4">
        <f t="shared" si="5"/>
        <v>-258</v>
      </c>
      <c r="I26" s="37" t="s">
        <v>109</v>
      </c>
      <c r="J26" s="38" t="s">
        <v>110</v>
      </c>
      <c r="K26" s="37">
        <v>-258</v>
      </c>
      <c r="L26" s="37" t="s">
        <v>111</v>
      </c>
      <c r="M26" s="38" t="s">
        <v>48</v>
      </c>
      <c r="N26" s="38"/>
      <c r="O26" s="39" t="s">
        <v>87</v>
      </c>
      <c r="P26" s="39" t="s">
        <v>88</v>
      </c>
    </row>
    <row r="27" spans="1:16" ht="12.75" customHeight="1" thickBot="1" x14ac:dyDescent="0.25">
      <c r="A27" s="4" t="str">
        <f t="shared" si="0"/>
        <v> AJ 63.243 </v>
      </c>
      <c r="B27" s="2" t="str">
        <f t="shared" si="1"/>
        <v>I</v>
      </c>
      <c r="C27" s="4">
        <f t="shared" si="2"/>
        <v>34402.15</v>
      </c>
      <c r="D27" s="6" t="str">
        <f t="shared" si="3"/>
        <v>vis</v>
      </c>
      <c r="E27" s="36">
        <f>VLOOKUP(C27,Active!C$21:E$973,3,FALSE)</f>
        <v>36.000423968343739</v>
      </c>
      <c r="F27" s="2" t="s">
        <v>47</v>
      </c>
      <c r="G27" s="6" t="str">
        <f t="shared" si="4"/>
        <v>34402.15</v>
      </c>
      <c r="H27" s="4">
        <f t="shared" si="5"/>
        <v>-257</v>
      </c>
      <c r="I27" s="37" t="s">
        <v>112</v>
      </c>
      <c r="J27" s="38" t="s">
        <v>113</v>
      </c>
      <c r="K27" s="37">
        <v>-257</v>
      </c>
      <c r="L27" s="37" t="s">
        <v>86</v>
      </c>
      <c r="M27" s="38" t="s">
        <v>48</v>
      </c>
      <c r="N27" s="38"/>
      <c r="O27" s="39" t="s">
        <v>87</v>
      </c>
      <c r="P27" s="39" t="s">
        <v>88</v>
      </c>
    </row>
    <row r="28" spans="1:16" ht="12.75" customHeight="1" thickBot="1" x14ac:dyDescent="0.25">
      <c r="A28" s="4" t="str">
        <f t="shared" si="0"/>
        <v> AJ 63.243 </v>
      </c>
      <c r="B28" s="2" t="str">
        <f t="shared" si="1"/>
        <v>I</v>
      </c>
      <c r="C28" s="4">
        <f t="shared" si="2"/>
        <v>34897.47</v>
      </c>
      <c r="D28" s="6" t="str">
        <f t="shared" si="3"/>
        <v>vis</v>
      </c>
      <c r="E28" s="36">
        <f>VLOOKUP(C28,Active!C$21:E$973,3,FALSE)</f>
        <v>43.000423968343732</v>
      </c>
      <c r="F28" s="2" t="s">
        <v>47</v>
      </c>
      <c r="G28" s="6" t="str">
        <f t="shared" si="4"/>
        <v>34897.47</v>
      </c>
      <c r="H28" s="4">
        <f t="shared" si="5"/>
        <v>-250</v>
      </c>
      <c r="I28" s="37" t="s">
        <v>114</v>
      </c>
      <c r="J28" s="38" t="s">
        <v>115</v>
      </c>
      <c r="K28" s="37">
        <v>-250</v>
      </c>
      <c r="L28" s="37" t="s">
        <v>86</v>
      </c>
      <c r="M28" s="38" t="s">
        <v>48</v>
      </c>
      <c r="N28" s="38"/>
      <c r="O28" s="39" t="s">
        <v>87</v>
      </c>
      <c r="P28" s="39" t="s">
        <v>88</v>
      </c>
    </row>
    <row r="29" spans="1:16" ht="12.75" customHeight="1" thickBot="1" x14ac:dyDescent="0.25">
      <c r="A29" s="4" t="str">
        <f t="shared" si="0"/>
        <v> AJ 63.243 </v>
      </c>
      <c r="B29" s="2" t="str">
        <f t="shared" si="1"/>
        <v>I</v>
      </c>
      <c r="C29" s="4">
        <f t="shared" si="2"/>
        <v>35534.230000000003</v>
      </c>
      <c r="D29" s="6" t="str">
        <f t="shared" si="3"/>
        <v>vis</v>
      </c>
      <c r="E29" s="36">
        <f>VLOOKUP(C29,Active!C$21:E$973,3,FALSE)</f>
        <v>51.999293386093903</v>
      </c>
      <c r="F29" s="2" t="s">
        <v>47</v>
      </c>
      <c r="G29" s="6" t="str">
        <f t="shared" si="4"/>
        <v>35534.23</v>
      </c>
      <c r="H29" s="4">
        <f t="shared" si="5"/>
        <v>-241</v>
      </c>
      <c r="I29" s="37" t="s">
        <v>116</v>
      </c>
      <c r="J29" s="38" t="s">
        <v>117</v>
      </c>
      <c r="K29" s="37">
        <v>-241</v>
      </c>
      <c r="L29" s="37" t="s">
        <v>96</v>
      </c>
      <c r="M29" s="38" t="s">
        <v>48</v>
      </c>
      <c r="N29" s="38"/>
      <c r="O29" s="39" t="s">
        <v>87</v>
      </c>
      <c r="P29" s="39" t="s">
        <v>88</v>
      </c>
    </row>
    <row r="30" spans="1:16" ht="12.75" customHeight="1" thickBot="1" x14ac:dyDescent="0.25">
      <c r="A30" s="4" t="str">
        <f t="shared" si="0"/>
        <v> AJ 63.243 </v>
      </c>
      <c r="B30" s="2" t="str">
        <f t="shared" si="1"/>
        <v>I</v>
      </c>
      <c r="C30" s="4">
        <f t="shared" si="2"/>
        <v>36241.870000000003</v>
      </c>
      <c r="D30" s="6" t="str">
        <f t="shared" si="3"/>
        <v>vis</v>
      </c>
      <c r="E30" s="36">
        <f>VLOOKUP(C30,Active!C$21:E$973,3,FALSE)</f>
        <v>61.999858677218825</v>
      </c>
      <c r="F30" s="2" t="s">
        <v>47</v>
      </c>
      <c r="G30" s="6" t="str">
        <f t="shared" si="4"/>
        <v>36241.87</v>
      </c>
      <c r="H30" s="4">
        <f t="shared" si="5"/>
        <v>-231</v>
      </c>
      <c r="I30" s="37" t="s">
        <v>118</v>
      </c>
      <c r="J30" s="38" t="s">
        <v>119</v>
      </c>
      <c r="K30" s="37">
        <v>-231</v>
      </c>
      <c r="L30" s="37" t="s">
        <v>99</v>
      </c>
      <c r="M30" s="38" t="s">
        <v>48</v>
      </c>
      <c r="N30" s="38"/>
      <c r="O30" s="39" t="s">
        <v>87</v>
      </c>
      <c r="P30" s="39" t="s">
        <v>88</v>
      </c>
    </row>
    <row r="31" spans="1:16" ht="12.75" customHeight="1" thickBot="1" x14ac:dyDescent="0.25">
      <c r="A31" s="4" t="str">
        <f t="shared" si="0"/>
        <v> MVS 2.122 </v>
      </c>
      <c r="B31" s="2" t="str">
        <f t="shared" si="1"/>
        <v>I</v>
      </c>
      <c r="C31" s="4">
        <f t="shared" si="2"/>
        <v>37586.627999999997</v>
      </c>
      <c r="D31" s="6" t="str">
        <f t="shared" si="3"/>
        <v>vis</v>
      </c>
      <c r="E31" s="36">
        <f>VLOOKUP(C31,Active!C$21:E$973,3,FALSE)</f>
        <v>81.004352741661933</v>
      </c>
      <c r="F31" s="2" t="s">
        <v>47</v>
      </c>
      <c r="G31" s="6" t="str">
        <f t="shared" si="4"/>
        <v>37586.628</v>
      </c>
      <c r="H31" s="4">
        <f t="shared" si="5"/>
        <v>-212</v>
      </c>
      <c r="I31" s="37" t="s">
        <v>120</v>
      </c>
      <c r="J31" s="38" t="s">
        <v>121</v>
      </c>
      <c r="K31" s="37">
        <v>-212</v>
      </c>
      <c r="L31" s="37" t="s">
        <v>122</v>
      </c>
      <c r="M31" s="38" t="s">
        <v>55</v>
      </c>
      <c r="N31" s="38"/>
      <c r="O31" s="39" t="s">
        <v>123</v>
      </c>
      <c r="P31" s="39" t="s">
        <v>124</v>
      </c>
    </row>
    <row r="32" spans="1:16" ht="12.75" customHeight="1" thickBot="1" x14ac:dyDescent="0.25">
      <c r="A32" s="4" t="str">
        <f t="shared" si="0"/>
        <v> VSSC 73 </v>
      </c>
      <c r="B32" s="2" t="str">
        <f t="shared" si="1"/>
        <v>I</v>
      </c>
      <c r="C32" s="4">
        <f t="shared" si="2"/>
        <v>45086.76</v>
      </c>
      <c r="D32" s="6" t="str">
        <f t="shared" si="3"/>
        <v>vis</v>
      </c>
      <c r="E32" s="36">
        <f>VLOOKUP(C32,Active!C$21:E$973,3,FALSE)</f>
        <v>186.99830412662524</v>
      </c>
      <c r="F32" s="2" t="s">
        <v>47</v>
      </c>
      <c r="G32" s="6" t="str">
        <f t="shared" si="4"/>
        <v>45086.76</v>
      </c>
      <c r="H32" s="4">
        <f t="shared" si="5"/>
        <v>-106</v>
      </c>
      <c r="I32" s="37" t="s">
        <v>125</v>
      </c>
      <c r="J32" s="38" t="s">
        <v>126</v>
      </c>
      <c r="K32" s="37">
        <v>-106</v>
      </c>
      <c r="L32" s="37" t="s">
        <v>127</v>
      </c>
      <c r="M32" s="38" t="s">
        <v>70</v>
      </c>
      <c r="N32" s="38"/>
      <c r="O32" s="39" t="s">
        <v>128</v>
      </c>
      <c r="P32" s="39" t="s">
        <v>129</v>
      </c>
    </row>
    <row r="33" spans="1:16" ht="12.75" customHeight="1" thickBot="1" x14ac:dyDescent="0.25">
      <c r="A33" s="4" t="str">
        <f t="shared" si="0"/>
        <v> BBS 66 </v>
      </c>
      <c r="B33" s="2" t="str">
        <f t="shared" si="1"/>
        <v>I</v>
      </c>
      <c r="C33" s="4">
        <f t="shared" si="2"/>
        <v>45440.800000000003</v>
      </c>
      <c r="D33" s="6" t="str">
        <f t="shared" si="3"/>
        <v>vis</v>
      </c>
      <c r="E33" s="36">
        <f>VLOOKUP(C33,Active!C$21:E$973,3,FALSE)</f>
        <v>192.00169587337484</v>
      </c>
      <c r="F33" s="2" t="s">
        <v>47</v>
      </c>
      <c r="G33" s="6" t="str">
        <f t="shared" si="4"/>
        <v>45440.8</v>
      </c>
      <c r="H33" s="4">
        <f t="shared" si="5"/>
        <v>-101</v>
      </c>
      <c r="I33" s="37" t="s">
        <v>130</v>
      </c>
      <c r="J33" s="38" t="s">
        <v>131</v>
      </c>
      <c r="K33" s="37">
        <v>-101</v>
      </c>
      <c r="L33" s="37" t="s">
        <v>132</v>
      </c>
      <c r="M33" s="38" t="s">
        <v>70</v>
      </c>
      <c r="N33" s="38"/>
      <c r="O33" s="39" t="s">
        <v>133</v>
      </c>
      <c r="P33" s="39" t="s">
        <v>134</v>
      </c>
    </row>
    <row r="34" spans="1:16" ht="12.75" customHeight="1" thickBot="1" x14ac:dyDescent="0.25">
      <c r="A34" s="4" t="str">
        <f t="shared" si="0"/>
        <v> VSSC 61.17 </v>
      </c>
      <c r="B34" s="2" t="str">
        <f t="shared" si="1"/>
        <v>I</v>
      </c>
      <c r="C34" s="4">
        <f t="shared" si="2"/>
        <v>45794.64</v>
      </c>
      <c r="D34" s="6" t="str">
        <f t="shared" si="3"/>
        <v>vis</v>
      </c>
      <c r="E34" s="36">
        <f>VLOOKUP(C34,Active!C$21:E$973,3,FALSE)</f>
        <v>197.00226116449971</v>
      </c>
      <c r="F34" s="2" t="s">
        <v>47</v>
      </c>
      <c r="G34" s="6" t="str">
        <f t="shared" si="4"/>
        <v>45794.64</v>
      </c>
      <c r="H34" s="4">
        <f t="shared" si="5"/>
        <v>-96</v>
      </c>
      <c r="I34" s="37" t="s">
        <v>135</v>
      </c>
      <c r="J34" s="38" t="s">
        <v>136</v>
      </c>
      <c r="K34" s="37">
        <v>-96</v>
      </c>
      <c r="L34" s="37" t="s">
        <v>137</v>
      </c>
      <c r="M34" s="38" t="s">
        <v>70</v>
      </c>
      <c r="N34" s="38"/>
      <c r="O34" s="39" t="s">
        <v>128</v>
      </c>
      <c r="P34" s="39" t="s">
        <v>138</v>
      </c>
    </row>
    <row r="35" spans="1:16" ht="12.75" customHeight="1" thickBot="1" x14ac:dyDescent="0.25">
      <c r="A35" s="4" t="str">
        <f t="shared" si="0"/>
        <v>BAVM 192 </v>
      </c>
      <c r="B35" s="2" t="str">
        <f t="shared" si="1"/>
        <v>I</v>
      </c>
      <c r="C35" s="4">
        <f t="shared" si="2"/>
        <v>53790.32</v>
      </c>
      <c r="D35" s="6" t="str">
        <f t="shared" si="3"/>
        <v>vis</v>
      </c>
      <c r="E35" s="36">
        <f>VLOOKUP(C35,Active!C$21:E$973,3,FALSE)</f>
        <v>309.99943470887507</v>
      </c>
      <c r="F35" s="2" t="s">
        <v>47</v>
      </c>
      <c r="G35" s="6" t="str">
        <f t="shared" si="4"/>
        <v>53790.320</v>
      </c>
      <c r="H35" s="4">
        <f t="shared" si="5"/>
        <v>17</v>
      </c>
      <c r="I35" s="37" t="s">
        <v>139</v>
      </c>
      <c r="J35" s="38" t="s">
        <v>140</v>
      </c>
      <c r="K35" s="37">
        <v>17</v>
      </c>
      <c r="L35" s="37" t="s">
        <v>141</v>
      </c>
      <c r="M35" s="38" t="s">
        <v>70</v>
      </c>
      <c r="N35" s="38"/>
      <c r="O35" s="39" t="s">
        <v>142</v>
      </c>
      <c r="P35" s="40" t="s">
        <v>143</v>
      </c>
    </row>
    <row r="36" spans="1:16" x14ac:dyDescent="0.2">
      <c r="B36" s="2"/>
      <c r="F36" s="2"/>
    </row>
    <row r="37" spans="1:16" x14ac:dyDescent="0.2">
      <c r="B37" s="2"/>
      <c r="F37" s="2"/>
    </row>
    <row r="38" spans="1:16" x14ac:dyDescent="0.2">
      <c r="B38" s="2"/>
      <c r="F38" s="2"/>
    </row>
    <row r="39" spans="1:16" x14ac:dyDescent="0.2">
      <c r="B39" s="2"/>
      <c r="F39" s="2"/>
    </row>
    <row r="40" spans="1:16" x14ac:dyDescent="0.2">
      <c r="B40" s="2"/>
      <c r="F40" s="2"/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</sheetData>
  <phoneticPr fontId="7" type="noConversion"/>
  <hyperlinks>
    <hyperlink ref="A3" r:id="rId1" xr:uid="{00000000-0004-0000-0100-000000000000}"/>
    <hyperlink ref="P35" r:id="rId2" display="http://www.bav-astro.de/sfs/BAVM_link.php?BAVMnr=192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2024-01-29T04:34:44Z</dcterms:modified>
</cp:coreProperties>
</file>