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435094A-DDA9-4F12-BC10-721EC775CEC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7" i="2" l="1"/>
  <c r="F27" i="2" s="1"/>
  <c r="G27" i="2" s="1"/>
  <c r="J27" i="2" s="1"/>
  <c r="Q27" i="2"/>
  <c r="C7" i="1"/>
  <c r="C8" i="1"/>
  <c r="E27" i="1"/>
  <c r="F27" i="1"/>
  <c r="G27" i="1"/>
  <c r="K27" i="1"/>
  <c r="D9" i="1"/>
  <c r="C9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7" i="1"/>
  <c r="F11" i="2"/>
  <c r="C7" i="2"/>
  <c r="G11" i="2"/>
  <c r="E14" i="2"/>
  <c r="C17" i="2"/>
  <c r="Q21" i="2"/>
  <c r="Q22" i="2"/>
  <c r="Q23" i="2"/>
  <c r="Q24" i="2"/>
  <c r="Q25" i="2"/>
  <c r="Q26" i="2"/>
  <c r="Q22" i="1"/>
  <c r="Q23" i="1"/>
  <c r="Q24" i="1"/>
  <c r="Q25" i="1"/>
  <c r="Q26" i="1"/>
  <c r="F16" i="1"/>
  <c r="F17" i="1" s="1"/>
  <c r="C17" i="1"/>
  <c r="Q21" i="1"/>
  <c r="E25" i="2"/>
  <c r="F25" i="2"/>
  <c r="G25" i="2" s="1"/>
  <c r="I25" i="2" s="1"/>
  <c r="E26" i="2"/>
  <c r="F26" i="2" s="1"/>
  <c r="G26" i="2" s="1"/>
  <c r="I26" i="2" s="1"/>
  <c r="E23" i="2"/>
  <c r="F23" i="2"/>
  <c r="G22" i="2"/>
  <c r="I22" i="2"/>
  <c r="E22" i="2"/>
  <c r="F22" i="2"/>
  <c r="G21" i="2"/>
  <c r="E24" i="2"/>
  <c r="F24" i="2"/>
  <c r="G24" i="2"/>
  <c r="I24" i="2" s="1"/>
  <c r="G23" i="2"/>
  <c r="I23" i="2"/>
  <c r="E21" i="2"/>
  <c r="F21" i="2"/>
  <c r="H21" i="2"/>
  <c r="C12" i="1"/>
  <c r="C11" i="1"/>
  <c r="C11" i="2"/>
  <c r="O26" i="1" l="1"/>
  <c r="S26" i="1" s="1"/>
  <c r="C15" i="1"/>
  <c r="F18" i="1" s="1"/>
  <c r="O25" i="1"/>
  <c r="S25" i="1" s="1"/>
  <c r="O21" i="1"/>
  <c r="O22" i="1"/>
  <c r="S22" i="1" s="1"/>
  <c r="O23" i="1"/>
  <c r="S23" i="1" s="1"/>
  <c r="O27" i="1"/>
  <c r="O24" i="1"/>
  <c r="S24" i="1" s="1"/>
  <c r="C16" i="1"/>
  <c r="D18" i="1" s="1"/>
  <c r="E15" i="2"/>
  <c r="C12" i="2"/>
  <c r="O27" i="2" l="1"/>
  <c r="R27" i="2" s="1"/>
  <c r="C16" i="2"/>
  <c r="D18" i="2" s="1"/>
  <c r="O22" i="2"/>
  <c r="R22" i="2" s="1"/>
  <c r="O23" i="2"/>
  <c r="R23" i="2" s="1"/>
  <c r="O26" i="2"/>
  <c r="R26" i="2" s="1"/>
  <c r="O24" i="2"/>
  <c r="R24" i="2" s="1"/>
  <c r="O25" i="2"/>
  <c r="R25" i="2" s="1"/>
  <c r="O21" i="2"/>
  <c r="C15" i="2"/>
  <c r="S19" i="1"/>
  <c r="F19" i="1"/>
  <c r="C18" i="1"/>
  <c r="C18" i="2" l="1"/>
  <c r="E16" i="2"/>
  <c r="E17" i="2" s="1"/>
  <c r="R19" i="2"/>
</calcChain>
</file>

<file path=xl/sharedStrings.xml><?xml version="1.0" encoding="utf-8"?>
<sst xmlns="http://schemas.openxmlformats.org/spreadsheetml/2006/main" count="125" uniqueCount="50">
  <si>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</si>
  <si>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</si>
  <si>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</si>
  <si>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</si>
  <si>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</si>
  <si>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</si>
  <si>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</si>
  <si>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</si>
  <si>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</si>
  <si>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</si>
  <si>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</si>
  <si>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</si>
  <si>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</si>
  <si>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</si>
  <si>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</si>
  <si>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</si>
  <si>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</si>
  <si>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</si>
  <si>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</si>
  <si>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</si>
  <si>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</si>
  <si>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</si>
  <si>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</si>
  <si>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</si>
  <si>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</si>
  <si>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</si>
  <si>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</si>
  <si>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</si>
  <si>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</si>
  <si>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</si>
  <si>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</si>
  <si>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</si>
  <si>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</si>
  <si>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</si>
  <si>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</si>
  <si>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</si>
  <si>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</si>
  <si>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</si>
  <si>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</si>
  <si>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</si>
  <si>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</si>
  <si>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GCVS</t>
  </si>
  <si>
    <t>RZ Col / GSC 7054-1872</t>
  </si>
  <si>
    <t>EW/KE</t>
  </si>
  <si>
    <t>IBVS 1837</t>
  </si>
  <si>
    <t>II</t>
  </si>
  <si>
    <t>PE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</si>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</sst>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3" fillId="0" borderId="0"/>
    <xf numFmtId="0" fontId="13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14" fillId="0" borderId="0" xfId="0" applyNumberFormat="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Col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E-4012-85E7-839E45F4D99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E-4012-85E7-839E45F4D99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0">
                  <c:v>0</c:v>
                </c:pt>
                <c:pt idx="1">
                  <c:v>1.7388750056852587E-3</c:v>
                </c:pt>
                <c:pt idx="2">
                  <c:v>1.7481250033597462E-3</c:v>
                </c:pt>
                <c:pt idx="3">
                  <c:v>5.275000148685649E-5</c:v>
                </c:pt>
                <c:pt idx="4">
                  <c:v>1.8028750055236742E-3</c:v>
                </c:pt>
                <c:pt idx="5">
                  <c:v>3.620000061346218E-4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E-4012-85E7-839E45F4D99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6">
                  <c:v>8.1034875009208918E-2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E-4012-85E7-839E45F4D99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E-4012-85E7-839E45F4D99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E-4012-85E7-839E45F4D99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E-4012-85E7-839E45F4D99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17510.5</c:v>
                </c:pt>
                <c:pt idx="2">
                  <c:v>17517.5</c:v>
                </c:pt>
                <c:pt idx="3">
                  <c:v>17521</c:v>
                </c:pt>
                <c:pt idx="4">
                  <c:v>17526.5</c:v>
                </c:pt>
                <c:pt idx="5">
                  <c:v>17528</c:v>
                </c:pt>
                <c:pt idx="6">
                  <c:v>40014.5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-2.7276586296738597E-2</c:v>
                </c:pt>
                <c:pt idx="1">
                  <c:v>1.0823357800043218E-2</c:v>
                </c:pt>
                <c:pt idx="2">
                  <c:v>1.0838588639178449E-2</c:v>
                </c:pt>
                <c:pt idx="3">
                  <c:v>1.0846204058746069E-2</c:v>
                </c:pt>
                <c:pt idx="4">
                  <c:v>1.0858171146638035E-2</c:v>
                </c:pt>
                <c:pt idx="5">
                  <c:v>1.08614348978813E-2</c:v>
                </c:pt>
                <c:pt idx="6">
                  <c:v>5.9788329785650601E-2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E-4012-85E7-839E45F4D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684288"/>
        <c:axId val="1"/>
      </c:scatterChart>
      <c:valAx>
        <c:axId val="59368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684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Col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A-43EC-96E8-2070D360654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0.12383799999952316</c:v>
                </c:pt>
                <c:pt idx="2">
                  <c:v>0.12412200000107987</c:v>
                </c:pt>
                <c:pt idx="3">
                  <c:v>0.12256399999751011</c:v>
                </c:pt>
                <c:pt idx="4">
                  <c:v>0.12453000000095926</c:v>
                </c:pt>
                <c:pt idx="5">
                  <c:v>0.12314800000604009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7A-43EC-96E8-2070D360654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6">
                  <c:v>-4.395999999542255E-2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7A-43EC-96E8-2070D360654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7A-43EC-96E8-2070D360654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7A-43EC-96E8-2070D360654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7A-43EC-96E8-2070D360654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7A-43EC-96E8-2070D360654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0.11349686522028607</c:v>
                </c:pt>
                <c:pt idx="1">
                  <c:v>8.3278385412366138E-2</c:v>
                </c:pt>
                <c:pt idx="2">
                  <c:v>8.3266305958369882E-2</c:v>
                </c:pt>
                <c:pt idx="3">
                  <c:v>8.3260266231371755E-2</c:v>
                </c:pt>
                <c:pt idx="4">
                  <c:v>8.325077523180327E-2</c:v>
                </c:pt>
                <c:pt idx="5">
                  <c:v>8.3248186777375499E-2</c:v>
                </c:pt>
                <c:pt idx="6">
                  <c:v>4.4441215178117444E-2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7A-43EC-96E8-2070D360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098856"/>
        <c:axId val="1"/>
      </c:scatterChart>
      <c:valAx>
        <c:axId val="556098856"/>
        <c:scaling>
          <c:orientation val="minMax"/>
          <c:max val="17600"/>
          <c:min val="17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3"/>
          <c:min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09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436090225563908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Col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25827036744317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5B-4031-A7CA-3CB7E573C3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0.12383799999952316</c:v>
                </c:pt>
                <c:pt idx="2">
                  <c:v>0.12412200000107987</c:v>
                </c:pt>
                <c:pt idx="3">
                  <c:v>0.12256399999751011</c:v>
                </c:pt>
                <c:pt idx="4">
                  <c:v>0.12453000000095926</c:v>
                </c:pt>
                <c:pt idx="5">
                  <c:v>0.12314800000604009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5B-4031-A7CA-3CB7E573C3A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6">
                  <c:v>-4.395999999542255E-2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5B-4031-A7CA-3CB7E573C3A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5B-4031-A7CA-3CB7E573C3A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5B-4031-A7CA-3CB7E573C3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5B-4031-A7CA-3CB7E573C3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5B-4031-A7CA-3CB7E573C3A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17511.5</c:v>
                </c:pt>
                <c:pt idx="2">
                  <c:v>17518.5</c:v>
                </c:pt>
                <c:pt idx="3">
                  <c:v>17522</c:v>
                </c:pt>
                <c:pt idx="4">
                  <c:v>17527.5</c:v>
                </c:pt>
                <c:pt idx="5">
                  <c:v>17529</c:v>
                </c:pt>
                <c:pt idx="6">
                  <c:v>40017.5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0.11349686522028607</c:v>
                </c:pt>
                <c:pt idx="1">
                  <c:v>8.3278385412366138E-2</c:v>
                </c:pt>
                <c:pt idx="2">
                  <c:v>8.3266305958369882E-2</c:v>
                </c:pt>
                <c:pt idx="3">
                  <c:v>8.3260266231371755E-2</c:v>
                </c:pt>
                <c:pt idx="4">
                  <c:v>8.325077523180327E-2</c:v>
                </c:pt>
                <c:pt idx="5">
                  <c:v>8.3248186777375499E-2</c:v>
                </c:pt>
                <c:pt idx="6">
                  <c:v>4.4441215178117444E-2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5B-4031-A7CA-3CB7E573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252320"/>
        <c:axId val="1"/>
      </c:scatterChart>
      <c:valAx>
        <c:axId val="59025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25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74506002065055"/>
          <c:y val="0.92397937099967764"/>
          <c:w val="0.6426435884703600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228600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F1B753-B32A-E13D-7AB1-EA9488D5C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17</xdr:col>
      <xdr:colOff>209550</xdr:colOff>
      <xdr:row>18</xdr:row>
      <xdr:rowOff>85726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8526695-E7B5-6A6E-9068-1AC69CF7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27</xdr:col>
      <xdr:colOff>285750</xdr:colOff>
      <xdr:row>18</xdr:row>
      <xdr:rowOff>95250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48639117-A334-619A-2496-D9AD124B1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s="29" t="s">
        <v>43</v>
      </c>
      <c r="D2" s="3"/>
    </row>
    <row r="3" spans="1:6" ht="13.5" thickBot="1" x14ac:dyDescent="0.25"/>
    <row r="4" spans="1:6" ht="14.25" thickTop="1" thickBot="1" x14ac:dyDescent="0.25">
      <c r="A4" s="5" t="s">
        <v>2</v>
      </c>
      <c r="C4" s="8">
        <v>34326.282399999996</v>
      </c>
      <c r="D4" s="9">
        <v>0.56522724999999996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34326.282399999996</v>
      </c>
    </row>
    <row r="8" spans="1:6" x14ac:dyDescent="0.2">
      <c r="A8" t="s">
        <v>5</v>
      </c>
      <c r="C8">
        <f>+D4</f>
        <v>0.56522724999999996</v>
      </c>
    </row>
    <row r="9" spans="1:6" x14ac:dyDescent="0.2">
      <c r="A9" s="27" t="s">
        <v>37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24">
        <f ca="1">INTERCEPT(INDIRECT($D$9):G992,INDIRECT($C$9):F992)</f>
        <v>-2.7276586296738597E-2</v>
      </c>
      <c r="D11" s="3"/>
      <c r="E11" s="12"/>
    </row>
    <row r="12" spans="1:6" x14ac:dyDescent="0.2">
      <c r="A12" s="12" t="s">
        <v>19</v>
      </c>
      <c r="B12" s="12"/>
      <c r="C12" s="24">
        <f ca="1">SLOPE(INDIRECT($D$9):G992,INDIRECT($C$9):F992)</f>
        <v>2.1758341621759411E-6</v>
      </c>
      <c r="D12" s="3"/>
      <c r="E12" s="12"/>
    </row>
    <row r="13" spans="1:6" x14ac:dyDescent="0.2">
      <c r="A13" s="12" t="s">
        <v>21</v>
      </c>
      <c r="B13" s="12"/>
      <c r="C13" s="3" t="s">
        <v>16</v>
      </c>
    </row>
    <row r="14" spans="1:6" x14ac:dyDescent="0.2">
      <c r="A14" s="12"/>
      <c r="B14" s="12"/>
      <c r="C14" s="12"/>
    </row>
    <row r="15" spans="1:6" x14ac:dyDescent="0.2">
      <c r="A15" s="14" t="s">
        <v>20</v>
      </c>
      <c r="B15" s="12"/>
      <c r="C15" s="15">
        <f ca="1">(C7+C11)+(C8+C12)*INT(MAX(F21:F3533))</f>
        <v>56943.345368741866</v>
      </c>
      <c r="E15" s="16" t="s">
        <v>38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0.56522942583416214</v>
      </c>
      <c r="E16" s="16" t="s">
        <v>34</v>
      </c>
      <c r="F16" s="17">
        <f ca="1">NOW()+15018.5+$C$5/24</f>
        <v>60339.631218055554</v>
      </c>
    </row>
    <row r="17" spans="1:19" ht="13.5" thickBot="1" x14ac:dyDescent="0.25">
      <c r="A17" s="16" t="s">
        <v>31</v>
      </c>
      <c r="B17" s="12"/>
      <c r="C17" s="12">
        <f>COUNT(C21:C2191)</f>
        <v>7</v>
      </c>
      <c r="E17" s="16" t="s">
        <v>39</v>
      </c>
      <c r="F17" s="17">
        <f ca="1">ROUND(2*(F16-$C$7)/$C$8,0)/2+F15</f>
        <v>46024</v>
      </c>
    </row>
    <row r="18" spans="1:19" ht="14.25" thickTop="1" thickBot="1" x14ac:dyDescent="0.25">
      <c r="A18" s="18" t="s">
        <v>7</v>
      </c>
      <c r="B18" s="12"/>
      <c r="C18" s="21">
        <f ca="1">+C15</f>
        <v>56943.345368741866</v>
      </c>
      <c r="D18" s="22">
        <f ca="1">+C16</f>
        <v>0.56522942583416214</v>
      </c>
      <c r="E18" s="16" t="s">
        <v>40</v>
      </c>
      <c r="F18" s="26">
        <f ca="1">ROUND(2*(F16-$C$15)/$C$16,0)/2+F15</f>
        <v>6009.5</v>
      </c>
    </row>
    <row r="19" spans="1:19" ht="13.5" thickTop="1" x14ac:dyDescent="0.2">
      <c r="E19" s="16" t="s">
        <v>35</v>
      </c>
      <c r="F19" s="20">
        <f ca="1">+$C$15+$C$16*F18-15018.5-$C$5/24</f>
        <v>45321.987436625597</v>
      </c>
      <c r="S19">
        <f ca="1">SQRT(SUM(S22:S26)/4)</f>
        <v>1.0884616765079531E-2</v>
      </c>
    </row>
    <row r="20" spans="1:19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1</v>
      </c>
      <c r="I20" s="7" t="s">
        <v>48</v>
      </c>
      <c r="J20" s="7" t="s">
        <v>46</v>
      </c>
      <c r="K20" s="7" t="s">
        <v>0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17</v>
      </c>
    </row>
    <row r="21" spans="1:19" x14ac:dyDescent="0.2">
      <c r="A21" t="s">
        <v>14</v>
      </c>
      <c r="C21" s="10">
        <v>34326.282399999996</v>
      </c>
      <c r="D21" s="10" t="s">
        <v>16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J21">
        <f t="shared" ref="J21:J26" si="3">+G21</f>
        <v>0</v>
      </c>
      <c r="O21">
        <f t="shared" ref="O21:O26" ca="1" si="4">+C$11+C$12*$F21</f>
        <v>-2.7276586296738597E-2</v>
      </c>
      <c r="Q21" s="2">
        <f t="shared" ref="Q21:Q26" si="5">+C21-15018.5</f>
        <v>19307.782399999996</v>
      </c>
    </row>
    <row r="22" spans="1:19" x14ac:dyDescent="0.2">
      <c r="A22" s="30" t="s">
        <v>44</v>
      </c>
      <c r="B22" s="31" t="s">
        <v>45</v>
      </c>
      <c r="C22" s="30">
        <v>44223.695899999999</v>
      </c>
      <c r="D22" s="30" t="s">
        <v>46</v>
      </c>
      <c r="E22">
        <f t="shared" si="0"/>
        <v>17510.503076417499</v>
      </c>
      <c r="F22">
        <f t="shared" si="1"/>
        <v>17510.5</v>
      </c>
      <c r="G22">
        <f t="shared" si="2"/>
        <v>1.7388750056852587E-3</v>
      </c>
      <c r="J22">
        <f t="shared" si="3"/>
        <v>1.7388750056852587E-3</v>
      </c>
      <c r="O22">
        <f t="shared" ca="1" si="4"/>
        <v>1.0823357800043218E-2</v>
      </c>
      <c r="Q22" s="2">
        <f t="shared" si="5"/>
        <v>29205.195899999999</v>
      </c>
      <c r="R22" t="s">
        <v>46</v>
      </c>
      <c r="S22">
        <f ca="1">+(O22-G22)^2</f>
        <v>8.2527827640985793E-5</v>
      </c>
    </row>
    <row r="23" spans="1:19" x14ac:dyDescent="0.2">
      <c r="A23" s="30" t="s">
        <v>44</v>
      </c>
      <c r="B23" s="31" t="s">
        <v>45</v>
      </c>
      <c r="C23" s="30">
        <v>44227.652499999997</v>
      </c>
      <c r="D23" s="30" t="s">
        <v>46</v>
      </c>
      <c r="E23">
        <f t="shared" si="0"/>
        <v>17517.503092782594</v>
      </c>
      <c r="F23">
        <f t="shared" si="1"/>
        <v>17517.5</v>
      </c>
      <c r="G23">
        <f t="shared" si="2"/>
        <v>1.7481250033597462E-3</v>
      </c>
      <c r="J23">
        <f t="shared" si="3"/>
        <v>1.7481250033597462E-3</v>
      </c>
      <c r="O23">
        <f t="shared" ca="1" si="4"/>
        <v>1.0838588639178449E-2</v>
      </c>
      <c r="Q23" s="2">
        <f t="shared" si="5"/>
        <v>29209.152499999997</v>
      </c>
      <c r="S23">
        <f ca="1">+(O23-G23)^2</f>
        <v>8.2636529114142203E-5</v>
      </c>
    </row>
    <row r="24" spans="1:19" x14ac:dyDescent="0.2">
      <c r="A24" s="30" t="s">
        <v>44</v>
      </c>
      <c r="B24" s="31" t="s">
        <v>47</v>
      </c>
      <c r="C24" s="30">
        <v>44229.629099999998</v>
      </c>
      <c r="D24" s="30" t="s">
        <v>46</v>
      </c>
      <c r="E24">
        <f t="shared" si="0"/>
        <v>17521.0000933253</v>
      </c>
      <c r="F24">
        <f t="shared" si="1"/>
        <v>17521</v>
      </c>
      <c r="G24">
        <f t="shared" si="2"/>
        <v>5.275000148685649E-5</v>
      </c>
      <c r="J24">
        <f t="shared" si="3"/>
        <v>5.275000148685649E-5</v>
      </c>
      <c r="O24">
        <f t="shared" ca="1" si="4"/>
        <v>1.0846204058746069E-2</v>
      </c>
      <c r="Q24" s="2">
        <f t="shared" si="5"/>
        <v>29211.129099999998</v>
      </c>
      <c r="S24">
        <f ca="1">+(O24-G24)^2</f>
        <v>1.1649865048616535E-4</v>
      </c>
    </row>
    <row r="25" spans="1:19" x14ac:dyDescent="0.2">
      <c r="A25" s="30" t="s">
        <v>44</v>
      </c>
      <c r="B25" s="31" t="s">
        <v>45</v>
      </c>
      <c r="C25" s="30">
        <v>44232.739600000001</v>
      </c>
      <c r="D25" s="30" t="s">
        <v>46</v>
      </c>
      <c r="E25">
        <f t="shared" si="0"/>
        <v>17526.503189646297</v>
      </c>
      <c r="F25">
        <f t="shared" si="1"/>
        <v>17526.5</v>
      </c>
      <c r="G25">
        <f t="shared" si="2"/>
        <v>1.8028750055236742E-3</v>
      </c>
      <c r="J25">
        <f t="shared" si="3"/>
        <v>1.8028750055236742E-3</v>
      </c>
      <c r="O25">
        <f t="shared" ca="1" si="4"/>
        <v>1.0858171146638035E-2</v>
      </c>
      <c r="Q25" s="2">
        <f t="shared" si="5"/>
        <v>29214.239600000001</v>
      </c>
      <c r="S25">
        <f ca="1">+(O25-G25)^2</f>
        <v>8.1998388203280634E-5</v>
      </c>
    </row>
    <row r="26" spans="1:19" x14ac:dyDescent="0.2">
      <c r="A26" s="30" t="s">
        <v>44</v>
      </c>
      <c r="B26" s="31" t="s">
        <v>47</v>
      </c>
      <c r="C26" s="30">
        <v>44233.586000000003</v>
      </c>
      <c r="D26" s="30" t="s">
        <v>46</v>
      </c>
      <c r="E26">
        <f t="shared" si="0"/>
        <v>17528.00064045038</v>
      </c>
      <c r="F26">
        <f t="shared" si="1"/>
        <v>17528</v>
      </c>
      <c r="G26">
        <f t="shared" si="2"/>
        <v>3.620000061346218E-4</v>
      </c>
      <c r="J26">
        <f t="shared" si="3"/>
        <v>3.620000061346218E-4</v>
      </c>
      <c r="O26">
        <f t="shared" ca="1" si="4"/>
        <v>1.08614348978813E-2</v>
      </c>
      <c r="Q26" s="2">
        <f t="shared" si="5"/>
        <v>29215.086000000003</v>
      </c>
      <c r="S26">
        <f ca="1">+(O26-G26)^2</f>
        <v>1.1023813304602759E-4</v>
      </c>
    </row>
    <row r="27" spans="1:19" x14ac:dyDescent="0.2">
      <c r="A27" s="32" t="s">
        <v>49</v>
      </c>
      <c r="B27" s="33" t="s">
        <v>47</v>
      </c>
      <c r="C27" s="34">
        <v>56943.649230000003</v>
      </c>
      <c r="D27" s="34">
        <v>2.0000000000000001E-4</v>
      </c>
      <c r="E27">
        <f>+(C27-C$7)/C$8</f>
        <v>40014.643366893593</v>
      </c>
      <c r="F27">
        <f t="shared" si="1"/>
        <v>40014.5</v>
      </c>
      <c r="G27">
        <f>+C27-(C$7+F27*C$8)</f>
        <v>8.1034875009208918E-2</v>
      </c>
      <c r="K27">
        <f>+G27</f>
        <v>8.1034875009208918E-2</v>
      </c>
      <c r="O27">
        <f ca="1">+C$11+C$12*$F27</f>
        <v>5.9788329785650601E-2</v>
      </c>
      <c r="Q27" s="2">
        <f>+C27-15018.5</f>
        <v>41925.149230000003</v>
      </c>
      <c r="R27" t="s">
        <v>0</v>
      </c>
    </row>
    <row r="28" spans="1:19" x14ac:dyDescent="0.2">
      <c r="C28" s="10"/>
      <c r="D28" s="10"/>
      <c r="Q28" s="2"/>
    </row>
    <row r="29" spans="1:19" x14ac:dyDescent="0.2">
      <c r="C29" s="10"/>
      <c r="D29" s="10"/>
      <c r="Q29" s="2"/>
    </row>
    <row r="30" spans="1:19" x14ac:dyDescent="0.2">
      <c r="C30" s="10"/>
      <c r="D30" s="10"/>
      <c r="Q30" s="2"/>
    </row>
    <row r="31" spans="1:19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hyperlinks>
    <hyperlink ref="H138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26</v>
      </c>
      <c r="B2" s="29" t="s">
        <v>43</v>
      </c>
      <c r="D2" s="3"/>
    </row>
    <row r="3" spans="1:7" ht="13.5" thickBot="1" x14ac:dyDescent="0.25"/>
    <row r="4" spans="1:7" ht="14.25" thickTop="1" thickBot="1" x14ac:dyDescent="0.25">
      <c r="A4" s="5" t="s">
        <v>2</v>
      </c>
      <c r="C4" s="8">
        <v>34326.282399999996</v>
      </c>
      <c r="D4" s="9">
        <v>0.56522724999999996</v>
      </c>
    </row>
    <row r="6" spans="1:7" x14ac:dyDescent="0.2">
      <c r="A6" s="5" t="s">
        <v>3</v>
      </c>
    </row>
    <row r="7" spans="1:7" x14ac:dyDescent="0.2">
      <c r="A7" t="s">
        <v>4</v>
      </c>
      <c r="C7">
        <f>+C4</f>
        <v>34326.282399999996</v>
      </c>
    </row>
    <row r="8" spans="1:7" x14ac:dyDescent="0.2">
      <c r="A8" t="s">
        <v>5</v>
      </c>
      <c r="C8">
        <v>0.56518800000000002</v>
      </c>
    </row>
    <row r="9" spans="1:7" x14ac:dyDescent="0.2">
      <c r="A9" s="11" t="s">
        <v>32</v>
      </c>
      <c r="B9" s="12"/>
      <c r="C9" s="13">
        <v>8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7" x14ac:dyDescent="0.2">
      <c r="A11" s="12" t="s">
        <v>18</v>
      </c>
      <c r="B11" s="12"/>
      <c r="C11" s="24">
        <f ca="1">INTERCEPT(INDIRECT($G$11):G992,INDIRECT($F$11):F992)</f>
        <v>0.11349686522028607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19</v>
      </c>
      <c r="B12" s="12"/>
      <c r="C12" s="24">
        <f ca="1">SLOPE(INDIRECT($G$11):G992,INDIRECT($F$11):F992)</f>
        <v>-1.7256362851794497E-6</v>
      </c>
      <c r="D12" s="3"/>
      <c r="E12" s="12"/>
    </row>
    <row r="13" spans="1:7" x14ac:dyDescent="0.2">
      <c r="A13" s="12" t="s">
        <v>21</v>
      </c>
      <c r="B13" s="12"/>
      <c r="C13" s="3" t="s">
        <v>16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60340.360384722226</v>
      </c>
    </row>
    <row r="15" spans="1:7" x14ac:dyDescent="0.2">
      <c r="A15" s="14" t="s">
        <v>20</v>
      </c>
      <c r="B15" s="12"/>
      <c r="C15" s="15">
        <f ca="1">(C7+C11)+(C8+C12)*INT(MAX(F21:F3533))</f>
        <v>56943.455038077991</v>
      </c>
      <c r="D15" s="16" t="s">
        <v>39</v>
      </c>
      <c r="E15" s="17">
        <f ca="1">ROUND(2*(E14-$C$7)/$C$8,0)/2+E13</f>
        <v>46028.5</v>
      </c>
    </row>
    <row r="16" spans="1:7" x14ac:dyDescent="0.2">
      <c r="A16" s="18" t="s">
        <v>6</v>
      </c>
      <c r="B16" s="12"/>
      <c r="C16" s="19">
        <f ca="1">+C8+C12</f>
        <v>0.56518627436371482</v>
      </c>
      <c r="D16" s="16" t="s">
        <v>40</v>
      </c>
      <c r="E16" s="26">
        <f ca="1">ROUND(2*(E14-$C$15)/$C$16,0)/2+E13</f>
        <v>6011</v>
      </c>
    </row>
    <row r="17" spans="1:18" ht="13.5" thickBot="1" x14ac:dyDescent="0.25">
      <c r="A17" s="16" t="s">
        <v>31</v>
      </c>
      <c r="B17" s="12"/>
      <c r="C17" s="12">
        <f>COUNT(C21:C2191)</f>
        <v>7</v>
      </c>
      <c r="D17" s="16" t="s">
        <v>35</v>
      </c>
      <c r="E17" s="20">
        <f ca="1">+$C$15+$C$16*E16-15018.5-$C$9/24</f>
        <v>45321.956399944946</v>
      </c>
    </row>
    <row r="18" spans="1:18" ht="14.25" thickTop="1" thickBot="1" x14ac:dyDescent="0.25">
      <c r="A18" s="18" t="s">
        <v>7</v>
      </c>
      <c r="B18" s="12"/>
      <c r="C18" s="21">
        <f ca="1">+C15</f>
        <v>56943.455038077991</v>
      </c>
      <c r="D18" s="22">
        <f ca="1">+C16</f>
        <v>0.56518627436371482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  <c r="R19">
        <f ca="1">SQRT(SUM(R22:R26)/4)</f>
        <v>4.5152583127531461E-2</v>
      </c>
    </row>
    <row r="20" spans="1:18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41</v>
      </c>
      <c r="I20" s="7" t="s">
        <v>46</v>
      </c>
      <c r="J20" s="7" t="s">
        <v>0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17</v>
      </c>
    </row>
    <row r="21" spans="1:18" x14ac:dyDescent="0.2">
      <c r="A21" t="s">
        <v>14</v>
      </c>
      <c r="C21" s="10">
        <v>34326.282399999996</v>
      </c>
      <c r="D21" s="10" t="s">
        <v>16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0.11349686522028607</v>
      </c>
      <c r="Q21" s="2">
        <f t="shared" ref="Q21:Q26" si="4">+C21-15018.5</f>
        <v>19307.782399999996</v>
      </c>
    </row>
    <row r="22" spans="1:18" x14ac:dyDescent="0.2">
      <c r="A22" s="30" t="s">
        <v>44</v>
      </c>
      <c r="B22" s="31" t="s">
        <v>45</v>
      </c>
      <c r="C22" s="35">
        <v>44223.695899999999</v>
      </c>
      <c r="D22" s="30" t="s">
        <v>46</v>
      </c>
      <c r="E22">
        <f t="shared" si="0"/>
        <v>17511.719109393693</v>
      </c>
      <c r="F22">
        <f t="shared" si="1"/>
        <v>17511.5</v>
      </c>
      <c r="G22">
        <f t="shared" si="2"/>
        <v>0.12383799999952316</v>
      </c>
      <c r="I22">
        <f>+G22</f>
        <v>0.12383799999952316</v>
      </c>
      <c r="O22">
        <f t="shared" ca="1" si="3"/>
        <v>8.3278385412366138E-2</v>
      </c>
      <c r="Q22" s="2">
        <f t="shared" si="4"/>
        <v>29205.195899999999</v>
      </c>
      <c r="R22">
        <f ca="1">+(O22-G22)^2</f>
        <v>1.6450823354587209E-3</v>
      </c>
    </row>
    <row r="23" spans="1:18" x14ac:dyDescent="0.2">
      <c r="A23" s="30" t="s">
        <v>44</v>
      </c>
      <c r="B23" s="31" t="s">
        <v>45</v>
      </c>
      <c r="C23" s="35">
        <v>44227.652499999997</v>
      </c>
      <c r="D23" s="30" t="s">
        <v>46</v>
      </c>
      <c r="E23">
        <f t="shared" si="0"/>
        <v>17518.719611881355</v>
      </c>
      <c r="F23">
        <f t="shared" si="1"/>
        <v>17518.5</v>
      </c>
      <c r="G23">
        <f t="shared" si="2"/>
        <v>0.12412200000107987</v>
      </c>
      <c r="I23">
        <f>+G23</f>
        <v>0.12412200000107987</v>
      </c>
      <c r="O23">
        <f t="shared" ca="1" si="3"/>
        <v>8.3266305958369882E-2</v>
      </c>
      <c r="Q23" s="2">
        <f t="shared" si="4"/>
        <v>29209.152499999997</v>
      </c>
      <c r="R23">
        <f ca="1">+(O23-G23)^2</f>
        <v>1.6691877357115283E-3</v>
      </c>
    </row>
    <row r="24" spans="1:18" x14ac:dyDescent="0.2">
      <c r="A24" s="30" t="s">
        <v>44</v>
      </c>
      <c r="B24" s="31" t="s">
        <v>47</v>
      </c>
      <c r="C24" s="35">
        <v>44229.629099999998</v>
      </c>
      <c r="D24" s="30" t="s">
        <v>46</v>
      </c>
      <c r="E24">
        <f t="shared" si="0"/>
        <v>17522.216855276478</v>
      </c>
      <c r="F24">
        <f t="shared" si="1"/>
        <v>17522</v>
      </c>
      <c r="G24">
        <f t="shared" si="2"/>
        <v>0.12256399999751011</v>
      </c>
      <c r="I24">
        <f>+G24</f>
        <v>0.12256399999751011</v>
      </c>
      <c r="O24">
        <f t="shared" ca="1" si="3"/>
        <v>8.3260266231371755E-2</v>
      </c>
      <c r="Q24" s="2">
        <f t="shared" si="4"/>
        <v>29211.129099999998</v>
      </c>
      <c r="R24">
        <f ca="1">+(O24-G24)^2</f>
        <v>1.5447834879594843E-3</v>
      </c>
    </row>
    <row r="25" spans="1:18" x14ac:dyDescent="0.2">
      <c r="A25" s="30" t="s">
        <v>44</v>
      </c>
      <c r="B25" s="31" t="s">
        <v>45</v>
      </c>
      <c r="C25" s="35">
        <v>44232.739600000001</v>
      </c>
      <c r="D25" s="30" t="s">
        <v>46</v>
      </c>
      <c r="E25">
        <f t="shared" si="0"/>
        <v>17527.720333765054</v>
      </c>
      <c r="F25">
        <f t="shared" si="1"/>
        <v>17527.5</v>
      </c>
      <c r="G25">
        <f t="shared" si="2"/>
        <v>0.12453000000095926</v>
      </c>
      <c r="I25">
        <f>+G25</f>
        <v>0.12453000000095926</v>
      </c>
      <c r="O25">
        <f t="shared" ca="1" si="3"/>
        <v>8.325077523180327E-2</v>
      </c>
      <c r="Q25" s="2">
        <f t="shared" si="4"/>
        <v>29214.239600000001</v>
      </c>
      <c r="R25">
        <f ca="1">+(O25-G25)^2</f>
        <v>1.7039743975425015E-3</v>
      </c>
    </row>
    <row r="26" spans="1:18" x14ac:dyDescent="0.2">
      <c r="A26" s="30" t="s">
        <v>44</v>
      </c>
      <c r="B26" s="31" t="s">
        <v>47</v>
      </c>
      <c r="C26" s="35">
        <v>44233.586000000003</v>
      </c>
      <c r="D26" s="30" t="s">
        <v>46</v>
      </c>
      <c r="E26">
        <f t="shared" si="0"/>
        <v>17529.217888560986</v>
      </c>
      <c r="F26">
        <f t="shared" si="1"/>
        <v>17529</v>
      </c>
      <c r="G26">
        <f t="shared" si="2"/>
        <v>0.12314800000604009</v>
      </c>
      <c r="I26">
        <f>+G26</f>
        <v>0.12314800000604009</v>
      </c>
      <c r="O26">
        <f t="shared" ca="1" si="3"/>
        <v>8.3248186777375499E-2</v>
      </c>
      <c r="Q26" s="2">
        <f t="shared" si="4"/>
        <v>29215.086000000003</v>
      </c>
      <c r="R26">
        <f ca="1">+(O26-G26)^2</f>
        <v>1.5919950956823181E-3</v>
      </c>
    </row>
    <row r="27" spans="1:18" x14ac:dyDescent="0.2">
      <c r="A27" s="32" t="s">
        <v>49</v>
      </c>
      <c r="B27" s="33" t="s">
        <v>47</v>
      </c>
      <c r="C27" s="34">
        <v>56943.649230000003</v>
      </c>
      <c r="D27" s="34">
        <v>2.0000000000000001E-4</v>
      </c>
      <c r="E27">
        <f t="shared" ref="E27" si="5">+(C27-C$7)/C$8</f>
        <v>40017.422220570865</v>
      </c>
      <c r="F27">
        <f t="shared" ref="F27" si="6">ROUND(2*E27,0)/2</f>
        <v>40017.5</v>
      </c>
      <c r="G27">
        <f t="shared" ref="G27" si="7">+C27-(C$7+F27*C$8)</f>
        <v>-4.395999999542255E-2</v>
      </c>
      <c r="J27">
        <f>+G27</f>
        <v>-4.395999999542255E-2</v>
      </c>
      <c r="O27">
        <f t="shared" ref="O27" ca="1" si="8">+C$11+C$12*$F27</f>
        <v>4.4441215178117444E-2</v>
      </c>
      <c r="Q27" s="2">
        <f t="shared" ref="Q27" si="9">+C27-15018.5</f>
        <v>41925.149230000003</v>
      </c>
      <c r="R27">
        <f ca="1">+(O27-G27)^2</f>
        <v>7.8147748441585174E-3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2024-01-30T02:08:57Z</dcterms:modified>
</cp:coreProperties>
</file>