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D82D1FC-D391-4E81-A4AC-1A646C44AD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BAV" sheetId="4" r:id="rId2"/>
  </sheets>
  <calcPr calcId="181029"/>
</workbook>
</file>

<file path=xl/calcChain.xml><?xml version="1.0" encoding="utf-8"?>
<calcChain xmlns="http://schemas.openxmlformats.org/spreadsheetml/2006/main">
  <c r="E63" i="3" l="1"/>
  <c r="F63" i="3"/>
  <c r="G63" i="3"/>
  <c r="K63" i="3"/>
  <c r="E51" i="3"/>
  <c r="F51" i="3"/>
  <c r="G51" i="3"/>
  <c r="K51" i="3"/>
  <c r="E52" i="3"/>
  <c r="F52" i="3"/>
  <c r="G52" i="3"/>
  <c r="K52" i="3"/>
  <c r="E54" i="3"/>
  <c r="F54" i="3"/>
  <c r="G54" i="3"/>
  <c r="K54" i="3"/>
  <c r="E55" i="3"/>
  <c r="F55" i="3"/>
  <c r="G55" i="3"/>
  <c r="J55" i="3"/>
  <c r="E56" i="3"/>
  <c r="F56" i="3"/>
  <c r="G56" i="3"/>
  <c r="J56" i="3"/>
  <c r="E57" i="3"/>
  <c r="F57" i="3"/>
  <c r="G57" i="3"/>
  <c r="E58" i="3"/>
  <c r="F58" i="3"/>
  <c r="G58" i="3"/>
  <c r="K58" i="3"/>
  <c r="E59" i="3"/>
  <c r="F59" i="3"/>
  <c r="G59" i="3"/>
  <c r="K59" i="3"/>
  <c r="E60" i="3"/>
  <c r="F60" i="3"/>
  <c r="G60" i="3"/>
  <c r="K60" i="3"/>
  <c r="E61" i="3"/>
  <c r="F61" i="3"/>
  <c r="G61" i="3"/>
  <c r="K61" i="3"/>
  <c r="E62" i="3"/>
  <c r="F62" i="3"/>
  <c r="G62" i="3"/>
  <c r="K62" i="3"/>
  <c r="E64" i="3"/>
  <c r="F64" i="3"/>
  <c r="G64" i="3"/>
  <c r="K64" i="3"/>
  <c r="E53" i="3"/>
  <c r="F53" i="3"/>
  <c r="V53" i="3"/>
  <c r="Q63" i="3"/>
  <c r="Q64" i="3"/>
  <c r="A11" i="4"/>
  <c r="B11" i="4"/>
  <c r="C11" i="4"/>
  <c r="D11" i="4"/>
  <c r="E11" i="4"/>
  <c r="G11" i="4"/>
  <c r="H11" i="4"/>
  <c r="A12" i="4"/>
  <c r="D12" i="4"/>
  <c r="G12" i="4"/>
  <c r="C12" i="4"/>
  <c r="E12" i="4"/>
  <c r="H12" i="4"/>
  <c r="B12" i="4"/>
  <c r="A13" i="4"/>
  <c r="D13" i="4"/>
  <c r="G13" i="4"/>
  <c r="C13" i="4"/>
  <c r="E13" i="4"/>
  <c r="H13" i="4"/>
  <c r="B13" i="4"/>
  <c r="A14" i="4"/>
  <c r="D14" i="4"/>
  <c r="G14" i="4"/>
  <c r="C14" i="4"/>
  <c r="E14" i="4"/>
  <c r="H14" i="4"/>
  <c r="B14" i="4"/>
  <c r="A15" i="4"/>
  <c r="D15" i="4"/>
  <c r="G15" i="4"/>
  <c r="C15" i="4"/>
  <c r="E15" i="4"/>
  <c r="H15" i="4"/>
  <c r="B15" i="4"/>
  <c r="A16" i="4"/>
  <c r="B16" i="4"/>
  <c r="D16" i="4"/>
  <c r="G16" i="4"/>
  <c r="C16" i="4"/>
  <c r="E16" i="4"/>
  <c r="H16" i="4"/>
  <c r="A17" i="4"/>
  <c r="B17" i="4"/>
  <c r="C17" i="4"/>
  <c r="E17" i="4"/>
  <c r="D17" i="4"/>
  <c r="G17" i="4"/>
  <c r="H17" i="4"/>
  <c r="A18" i="4"/>
  <c r="B18" i="4"/>
  <c r="C18" i="4"/>
  <c r="E18" i="4"/>
  <c r="D18" i="4"/>
  <c r="G18" i="4"/>
  <c r="H18" i="4"/>
  <c r="A19" i="4"/>
  <c r="B19" i="4"/>
  <c r="C19" i="4"/>
  <c r="D19" i="4"/>
  <c r="E19" i="4"/>
  <c r="G19" i="4"/>
  <c r="H19" i="4"/>
  <c r="A20" i="4"/>
  <c r="D20" i="4"/>
  <c r="G20" i="4"/>
  <c r="C20" i="4"/>
  <c r="E20" i="4"/>
  <c r="H20" i="4"/>
  <c r="B20" i="4"/>
  <c r="A21" i="4"/>
  <c r="D21" i="4"/>
  <c r="G21" i="4"/>
  <c r="C21" i="4"/>
  <c r="E21" i="4"/>
  <c r="H21" i="4"/>
  <c r="B21" i="4"/>
  <c r="A22" i="4"/>
  <c r="D22" i="4"/>
  <c r="G22" i="4"/>
  <c r="C22" i="4"/>
  <c r="E22" i="4"/>
  <c r="H22" i="4"/>
  <c r="B22" i="4"/>
  <c r="A23" i="4"/>
  <c r="D23" i="4"/>
  <c r="G23" i="4"/>
  <c r="C23" i="4"/>
  <c r="E23" i="4"/>
  <c r="H23" i="4"/>
  <c r="B23" i="4"/>
  <c r="A24" i="4"/>
  <c r="B24" i="4"/>
  <c r="D24" i="4"/>
  <c r="G24" i="4"/>
  <c r="C24" i="4"/>
  <c r="E24" i="4"/>
  <c r="H24" i="4"/>
  <c r="A25" i="4"/>
  <c r="B25" i="4"/>
  <c r="C25" i="4"/>
  <c r="E25" i="4"/>
  <c r="D25" i="4"/>
  <c r="G25" i="4"/>
  <c r="H25" i="4"/>
  <c r="A26" i="4"/>
  <c r="B26" i="4"/>
  <c r="C26" i="4"/>
  <c r="E26" i="4"/>
  <c r="D26" i="4"/>
  <c r="G26" i="4"/>
  <c r="H26" i="4"/>
  <c r="A27" i="4"/>
  <c r="B27" i="4"/>
  <c r="C27" i="4"/>
  <c r="D27" i="4"/>
  <c r="E27" i="4"/>
  <c r="G27" i="4"/>
  <c r="H27" i="4"/>
  <c r="A28" i="4"/>
  <c r="D28" i="4"/>
  <c r="G28" i="4"/>
  <c r="C28" i="4"/>
  <c r="E28" i="4"/>
  <c r="H28" i="4"/>
  <c r="B28" i="4"/>
  <c r="A29" i="4"/>
  <c r="D29" i="4"/>
  <c r="G29" i="4"/>
  <c r="C29" i="4"/>
  <c r="E29" i="4"/>
  <c r="H29" i="4"/>
  <c r="B29" i="4"/>
  <c r="A30" i="4"/>
  <c r="D30" i="4"/>
  <c r="G30" i="4"/>
  <c r="C30" i="4"/>
  <c r="E30" i="4"/>
  <c r="H30" i="4"/>
  <c r="B30" i="4"/>
  <c r="A31" i="4"/>
  <c r="D31" i="4"/>
  <c r="G31" i="4"/>
  <c r="C31" i="4"/>
  <c r="E31" i="4"/>
  <c r="H31" i="4"/>
  <c r="B31" i="4"/>
  <c r="A32" i="4"/>
  <c r="B32" i="4"/>
  <c r="D32" i="4"/>
  <c r="G32" i="4"/>
  <c r="C32" i="4"/>
  <c r="E32" i="4"/>
  <c r="H32" i="4"/>
  <c r="A33" i="4"/>
  <c r="B33" i="4"/>
  <c r="C33" i="4"/>
  <c r="E33" i="4"/>
  <c r="D33" i="4"/>
  <c r="G33" i="4"/>
  <c r="H33" i="4"/>
  <c r="A34" i="4"/>
  <c r="B34" i="4"/>
  <c r="C34" i="4"/>
  <c r="E34" i="4"/>
  <c r="D34" i="4"/>
  <c r="G34" i="4"/>
  <c r="H34" i="4"/>
  <c r="A35" i="4"/>
  <c r="B35" i="4"/>
  <c r="C35" i="4"/>
  <c r="D35" i="4"/>
  <c r="E35" i="4"/>
  <c r="G35" i="4"/>
  <c r="H35" i="4"/>
  <c r="A36" i="4"/>
  <c r="D36" i="4"/>
  <c r="G36" i="4"/>
  <c r="C36" i="4"/>
  <c r="E36" i="4"/>
  <c r="H36" i="4"/>
  <c r="B36" i="4"/>
  <c r="A37" i="4"/>
  <c r="D37" i="4"/>
  <c r="G37" i="4"/>
  <c r="C37" i="4"/>
  <c r="E37" i="4"/>
  <c r="H37" i="4"/>
  <c r="B37" i="4"/>
  <c r="C9" i="3"/>
  <c r="D9" i="3"/>
  <c r="F16" i="3"/>
  <c r="F17" i="3" s="1"/>
  <c r="C17" i="3"/>
  <c r="E21" i="3"/>
  <c r="F21" i="3"/>
  <c r="V21" i="3"/>
  <c r="Q21" i="3"/>
  <c r="E22" i="3"/>
  <c r="F22" i="3"/>
  <c r="V22" i="3"/>
  <c r="Q22" i="3"/>
  <c r="E23" i="3"/>
  <c r="F23" i="3"/>
  <c r="V23" i="3"/>
  <c r="Q23" i="3"/>
  <c r="E24" i="3"/>
  <c r="F24" i="3"/>
  <c r="V24" i="3"/>
  <c r="Q24" i="3"/>
  <c r="E25" i="3"/>
  <c r="F25" i="3"/>
  <c r="V25" i="3"/>
  <c r="Q25" i="3"/>
  <c r="E26" i="3"/>
  <c r="F26" i="3"/>
  <c r="G26" i="3"/>
  <c r="L26" i="3"/>
  <c r="Q26" i="3"/>
  <c r="E27" i="3"/>
  <c r="F27" i="3"/>
  <c r="G27" i="3"/>
  <c r="K27" i="3"/>
  <c r="Q27" i="3"/>
  <c r="E28" i="3"/>
  <c r="F28" i="3"/>
  <c r="G28" i="3"/>
  <c r="K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K32" i="3"/>
  <c r="Q32" i="3"/>
  <c r="E33" i="3"/>
  <c r="F33" i="3"/>
  <c r="G33" i="3"/>
  <c r="J33" i="3"/>
  <c r="Q33" i="3"/>
  <c r="E34" i="3"/>
  <c r="F34" i="3"/>
  <c r="G34" i="3"/>
  <c r="J34" i="3"/>
  <c r="Q34" i="3"/>
  <c r="E35" i="3"/>
  <c r="F35" i="3"/>
  <c r="G35" i="3"/>
  <c r="K35" i="3"/>
  <c r="Q35" i="3"/>
  <c r="E36" i="3"/>
  <c r="F36" i="3"/>
  <c r="G36" i="3"/>
  <c r="K36" i="3"/>
  <c r="Q36" i="3"/>
  <c r="E37" i="3"/>
  <c r="F37" i="3"/>
  <c r="G37" i="3"/>
  <c r="K37" i="3"/>
  <c r="Q37" i="3"/>
  <c r="E38" i="3"/>
  <c r="F38" i="3"/>
  <c r="G38" i="3"/>
  <c r="J38" i="3"/>
  <c r="Q38" i="3"/>
  <c r="E39" i="3"/>
  <c r="F39" i="3"/>
  <c r="G39" i="3"/>
  <c r="J39" i="3"/>
  <c r="Q39" i="3"/>
  <c r="E40" i="3"/>
  <c r="F40" i="3"/>
  <c r="G40" i="3"/>
  <c r="K40" i="3"/>
  <c r="Q40" i="3"/>
  <c r="E41" i="3"/>
  <c r="F41" i="3"/>
  <c r="G41" i="3"/>
  <c r="K41" i="3"/>
  <c r="Q41" i="3"/>
  <c r="E42" i="3"/>
  <c r="F42" i="3"/>
  <c r="G42" i="3"/>
  <c r="J42" i="3"/>
  <c r="Q42" i="3"/>
  <c r="E43" i="3"/>
  <c r="F43" i="3"/>
  <c r="G43" i="3"/>
  <c r="K43" i="3"/>
  <c r="Q43" i="3"/>
  <c r="E44" i="3"/>
  <c r="F44" i="3"/>
  <c r="G44" i="3"/>
  <c r="K44" i="3"/>
  <c r="Q44" i="3"/>
  <c r="E45" i="3"/>
  <c r="F45" i="3"/>
  <c r="G45" i="3"/>
  <c r="J45" i="3"/>
  <c r="Q45" i="3"/>
  <c r="E46" i="3"/>
  <c r="F46" i="3"/>
  <c r="G46" i="3"/>
  <c r="J46" i="3"/>
  <c r="Q46" i="3"/>
  <c r="E47" i="3"/>
  <c r="F47" i="3"/>
  <c r="G47" i="3"/>
  <c r="K47" i="3"/>
  <c r="Q47" i="3"/>
  <c r="E48" i="3"/>
  <c r="F48" i="3"/>
  <c r="G48" i="3"/>
  <c r="K48" i="3"/>
  <c r="Q48" i="3"/>
  <c r="E49" i="3"/>
  <c r="F49" i="3"/>
  <c r="G49" i="3"/>
  <c r="K49" i="3"/>
  <c r="Q49" i="3"/>
  <c r="E50" i="3"/>
  <c r="F50" i="3"/>
  <c r="G50" i="3"/>
  <c r="K50" i="3"/>
  <c r="Q50" i="3"/>
  <c r="Q51" i="3"/>
  <c r="Q52" i="3"/>
  <c r="Q53" i="3"/>
  <c r="Q54" i="3"/>
  <c r="Q55" i="3"/>
  <c r="Q56" i="3"/>
  <c r="K57" i="3"/>
  <c r="Q57" i="3"/>
  <c r="Q58" i="3"/>
  <c r="Q59" i="3"/>
  <c r="Q60" i="3"/>
  <c r="Q61" i="3"/>
  <c r="Q62" i="3"/>
  <c r="C12" i="3"/>
  <c r="C11" i="3"/>
  <c r="O59" i="3" l="1"/>
  <c r="S59" i="3" s="1"/>
  <c r="O23" i="3"/>
  <c r="O24" i="3"/>
  <c r="S24" i="3" s="1"/>
  <c r="O35" i="3"/>
  <c r="S35" i="3" s="1"/>
  <c r="O62" i="3"/>
  <c r="S62" i="3" s="1"/>
  <c r="O25" i="3"/>
  <c r="O60" i="3"/>
  <c r="S60" i="3" s="1"/>
  <c r="O54" i="3"/>
  <c r="S54" i="3" s="1"/>
  <c r="O27" i="3"/>
  <c r="S27" i="3" s="1"/>
  <c r="O57" i="3"/>
  <c r="S57" i="3" s="1"/>
  <c r="O52" i="3"/>
  <c r="S52" i="3" s="1"/>
  <c r="O28" i="3"/>
  <c r="S28" i="3" s="1"/>
  <c r="O49" i="3"/>
  <c r="S49" i="3" s="1"/>
  <c r="O40" i="3"/>
  <c r="S40" i="3" s="1"/>
  <c r="C15" i="3"/>
  <c r="F18" i="3" s="1"/>
  <c r="O32" i="3"/>
  <c r="S32" i="3" s="1"/>
  <c r="O63" i="3"/>
  <c r="S63" i="3" s="1"/>
  <c r="O36" i="3"/>
  <c r="S36" i="3" s="1"/>
  <c r="O58" i="3"/>
  <c r="S58" i="3" s="1"/>
  <c r="O21" i="3"/>
  <c r="O34" i="3"/>
  <c r="S34" i="3" s="1"/>
  <c r="O26" i="3"/>
  <c r="S26" i="3" s="1"/>
  <c r="O29" i="3"/>
  <c r="S29" i="3" s="1"/>
  <c r="O45" i="3"/>
  <c r="S45" i="3" s="1"/>
  <c r="O48" i="3"/>
  <c r="S48" i="3" s="1"/>
  <c r="O43" i="3"/>
  <c r="S43" i="3" s="1"/>
  <c r="O51" i="3"/>
  <c r="S51" i="3" s="1"/>
  <c r="O31" i="3"/>
  <c r="S31" i="3" s="1"/>
  <c r="O33" i="3"/>
  <c r="S33" i="3" s="1"/>
  <c r="O47" i="3"/>
  <c r="S47" i="3" s="1"/>
  <c r="O42" i="3"/>
  <c r="S42" i="3" s="1"/>
  <c r="O22" i="3"/>
  <c r="S22" i="3" s="1"/>
  <c r="S19" i="3" s="1"/>
  <c r="O55" i="3"/>
  <c r="S55" i="3" s="1"/>
  <c r="O56" i="3"/>
  <c r="S56" i="3" s="1"/>
  <c r="O37" i="3"/>
  <c r="S37" i="3" s="1"/>
  <c r="O61" i="3"/>
  <c r="S61" i="3" s="1"/>
  <c r="O41" i="3"/>
  <c r="S41" i="3" s="1"/>
  <c r="O50" i="3"/>
  <c r="S50" i="3" s="1"/>
  <c r="O53" i="3"/>
  <c r="S53" i="3" s="1"/>
  <c r="O46" i="3"/>
  <c r="S46" i="3" s="1"/>
  <c r="O39" i="3"/>
  <c r="S39" i="3" s="1"/>
  <c r="O38" i="3"/>
  <c r="S38" i="3" s="1"/>
  <c r="O64" i="3"/>
  <c r="S64" i="3" s="1"/>
  <c r="O44" i="3"/>
  <c r="S44" i="3" s="1"/>
  <c r="O30" i="3"/>
  <c r="S30" i="3" s="1"/>
  <c r="C16" i="3"/>
  <c r="D18" i="3" s="1"/>
  <c r="C18" i="3" l="1"/>
  <c r="F19" i="3"/>
</calcChain>
</file>

<file path=xl/sharedStrings.xml><?xml version="1.0" encoding="utf-8"?>
<sst xmlns="http://schemas.openxmlformats.org/spreadsheetml/2006/main" count="376" uniqueCount="187">
  <si>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</si>
  <si>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</si>
  <si>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</si>
  <si>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</si>
  <si>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</si>
  <si>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</si>
  <si>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</si>
  <si>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</si>
  <si>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</si>
  <si>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</si>
  <si>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</si>
  <si>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</si>
  <si>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</si>
  <si>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</si>
  <si>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</si>
  <si>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</si>
  <si>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</si>
  <si>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</si>
  <si>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</si>
  <si>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</si>
  <si>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</si>
  <si>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</si>
  <si>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</si>
  <si>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</si>
  <si>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</si>
  <si>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</si>
  <si>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</si>
  <si>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</si>
  <si>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ROTSE</t>
  </si>
  <si>
    <t>not avail.</t>
  </si>
  <si>
    <t>IBVS 5060</t>
  </si>
  <si>
    <t>J123730.26+260451.8</t>
  </si>
  <si>
    <t>I</t>
  </si>
  <si>
    <t>II</t>
  </si>
  <si>
    <t>Nelson</t>
  </si>
  <si>
    <t># of data points:</t>
  </si>
  <si>
    <t>LQ Com / GSC 1990-1198</t>
  </si>
  <si>
    <t>IBVS 5820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</si>
  <si>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</si>
  <si>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</si>
  <si>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</si>
  <si>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</si>
  <si>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</si>
  <si>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</si>
  <si>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</si>
  <si>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</si>
  <si>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</si>
  <si>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IBVS 5918</t>
  </si>
  <si>
    <t>IBVS 5959</t>
  </si>
  <si>
    <t>IBVS 6010</t>
  </si>
  <si>
    <t>EW?</t>
  </si>
  <si>
    <t>OEJV 0160</t>
  </si>
  <si>
    <t>IBVS 6048</t>
  </si>
  <si>
    <t>VSX</t>
  </si>
  <si>
    <t>IBVS 6152</t>
  </si>
  <si>
    <t>OEJV 0165</t>
  </si>
  <si>
    <t>OEJV 0168</t>
  </si>
  <si>
    <t>BAD?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</si>
  <si>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</si>
  <si>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</si>
  <si>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</si>
  <si>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</si>
  <si>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</si>
  <si>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</si>
  <si>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</si>
  <si>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</si>
  <si>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</si>
  <si>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</si>
  <si>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</si>
  <si>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</si>
  <si>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2454133.9190 </t>
  </si>
  <si>
    <t> 02.02.2007 10:03 </t>
  </si>
  <si>
    <t> 0.0004 </t>
  </si>
  <si>
    <t>C </t>
  </si>
  <si>
    <t>R</t>
  </si>
  <si>
    <t> R.Nelson </t>
  </si>
  <si>
    <t>IBVS 5820 </t>
  </si>
  <si>
    <t>2454912.3535 </t>
  </si>
  <si>
    <t> 21.03.2009 20:29 </t>
  </si>
  <si>
    <t> -0.0004 </t>
  </si>
  <si>
    <t>B</t>
  </si>
  <si>
    <t> V.Pribík </t>
  </si>
  <si>
    <t>OEJV 0137 </t>
  </si>
  <si>
    <t>2454925.3783 </t>
  </si>
  <si>
    <t> 03.04.2009 21:04 </t>
  </si>
  <si>
    <t> -0.0001 </t>
  </si>
  <si>
    <t>2454933.4060 </t>
  </si>
  <si>
    <t> 11.04.2009 21:44 </t>
  </si>
  <si>
    <t> -0.0012 </t>
  </si>
  <si>
    <t>-I</t>
  </si>
  <si>
    <t> F.Agerer </t>
  </si>
  <si>
    <t>BAVM 209 </t>
  </si>
  <si>
    <t>2454933.5853 </t>
  </si>
  <si>
    <t> 12.04.2009 02:02 </t>
  </si>
  <si>
    <t>6819.5</t>
  </si>
  <si>
    <t> -0.0003 </t>
  </si>
  <si>
    <t>2454937.5099 </t>
  </si>
  <si>
    <t> 16.04.2009 00:14 </t>
  </si>
  <si>
    <t>6830.5</t>
  </si>
  <si>
    <t> -0.0009 </t>
  </si>
  <si>
    <t>2455304.3356 </t>
  </si>
  <si>
    <t> 17.04.2010 20:03 </t>
  </si>
  <si>
    <t>7858.5</t>
  </si>
  <si>
    <t> -0.0015 </t>
  </si>
  <si>
    <t> J.Trnka </t>
  </si>
  <si>
    <t>2455310.4057 </t>
  </si>
  <si>
    <t> 23.04.2010 21:44 </t>
  </si>
  <si>
    <t>7875.5</t>
  </si>
  <si>
    <t> 0.0024 </t>
  </si>
  <si>
    <t>BAVM 214 </t>
  </si>
  <si>
    <t>2455310.5815 </t>
  </si>
  <si>
    <t> 24.04.2010 01:57 </t>
  </si>
  <si>
    <t>7876</t>
  </si>
  <si>
    <t> -0.0002 </t>
  </si>
  <si>
    <t>2455315.4003 </t>
  </si>
  <si>
    <t> 28.04.2010 21:36 </t>
  </si>
  <si>
    <t>7889.5</t>
  </si>
  <si>
    <t> 0.0014 </t>
  </si>
  <si>
    <t> F.Lomoz </t>
  </si>
  <si>
    <t>2455315.4010 </t>
  </si>
  <si>
    <t> 28.04.2010 21:37 </t>
  </si>
  <si>
    <t> 0.0021 </t>
  </si>
  <si>
    <t>2455651.3587 </t>
  </si>
  <si>
    <t> 30.03.2011 20:36 </t>
  </si>
  <si>
    <t>8831</t>
  </si>
  <si>
    <t> V.P?ibik </t>
  </si>
  <si>
    <t>OEJV 0160 </t>
  </si>
  <si>
    <t>2455662.4213 </t>
  </si>
  <si>
    <t> 10.04.2011 22:06 </t>
  </si>
  <si>
    <t>8862</t>
  </si>
  <si>
    <t>BAVM 220 </t>
  </si>
  <si>
    <t>2455662.6003 </t>
  </si>
  <si>
    <t> 11.04.2011 02:24 </t>
  </si>
  <si>
    <t>8862.5</t>
  </si>
  <si>
    <t> 0.0010 </t>
  </si>
  <si>
    <t>2455674.37538 </t>
  </si>
  <si>
    <t> 22.04.2011 21:00 </t>
  </si>
  <si>
    <t>8895.5</t>
  </si>
  <si>
    <t> 0.00053 </t>
  </si>
  <si>
    <t> M.Lehky </t>
  </si>
  <si>
    <t>2455674.55205 </t>
  </si>
  <si>
    <t> 23.04.2011 01:14 </t>
  </si>
  <si>
    <t>8896</t>
  </si>
  <si>
    <t> -0.00122 </t>
  </si>
  <si>
    <t>2455675.4468 </t>
  </si>
  <si>
    <t> 23.04.2011 22:43 </t>
  </si>
  <si>
    <t>8898.5</t>
  </si>
  <si>
    <t>2455687.39846 </t>
  </si>
  <si>
    <t> 05.05.2011 21:33 </t>
  </si>
  <si>
    <t>8932</t>
  </si>
  <si>
    <t> -0.00087 </t>
  </si>
  <si>
    <t>2455959.66308 </t>
  </si>
  <si>
    <t> 02.02.2012 03:54 </t>
  </si>
  <si>
    <t>9695</t>
  </si>
  <si>
    <t> -0.00128 </t>
  </si>
  <si>
    <t>2456008.3722 </t>
  </si>
  <si>
    <t> 21.03.2012 20:55 </t>
  </si>
  <si>
    <t>9831.5</t>
  </si>
  <si>
    <t>BAVM 228 </t>
  </si>
  <si>
    <t>2456008.5497 </t>
  </si>
  <si>
    <t> 22.03.2012 01:11 </t>
  </si>
  <si>
    <t>9832</t>
  </si>
  <si>
    <t> -0.0010 </t>
  </si>
  <si>
    <t>2456074.38695 </t>
  </si>
  <si>
    <t> 26.05.2012 21:17 </t>
  </si>
  <si>
    <t>10016.5</t>
  </si>
  <si>
    <t> 0.00017 </t>
  </si>
  <si>
    <t>2456400.34616 </t>
  </si>
  <si>
    <t> 17.04.2013 20:18 </t>
  </si>
  <si>
    <t>10930</t>
  </si>
  <si>
    <t> -0.00930 </t>
  </si>
  <si>
    <t>2456428.3619 </t>
  </si>
  <si>
    <t> 15.05.2013 20:41 </t>
  </si>
  <si>
    <t>11008.5</t>
  </si>
  <si>
    <t> -0.0051 </t>
  </si>
  <si>
    <t>2457100.466 </t>
  </si>
  <si>
    <t> 18.03.2015 23:11 </t>
  </si>
  <si>
    <t>12892</t>
  </si>
  <si>
    <t> 0.000 </t>
  </si>
  <si>
    <t>BAVM 241 (=IBVS 6157) </t>
  </si>
  <si>
    <t>2457100.6413 </t>
  </si>
  <si>
    <t> 19.03.2015 03:23 </t>
  </si>
  <si>
    <t>12892.5</t>
  </si>
  <si>
    <t> -0.0026 </t>
  </si>
  <si>
    <t>OEJV 0179</t>
  </si>
  <si>
    <t>RHN 2020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</si>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</sst>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1" fillId="0" borderId="5" xfId="0" applyFont="1" applyBorder="1">
      <alignment vertical="top"/>
    </xf>
    <xf numFmtId="0" fontId="0" fillId="0" borderId="0" xfId="0" applyAlignment="1">
      <alignment horizontal="left"/>
    </xf>
    <xf numFmtId="0" fontId="12" fillId="0" borderId="0" xfId="0" applyFont="1" applyAlignment="1"/>
    <xf numFmtId="0" fontId="13" fillId="0" borderId="0" xfId="0" applyFont="1">
      <alignment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3" fillId="0" borderId="5" xfId="0" applyFont="1" applyBorder="1" applyAlignment="1">
      <alignment vertical="center"/>
    </xf>
    <xf numFmtId="0" fontId="5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0" fillId="24" borderId="20" xfId="38" applyFill="1" applyBorder="1" applyAlignment="1" applyProtection="1">
      <alignment horizontal="right" vertical="top" wrapText="1"/>
    </xf>
    <xf numFmtId="0" fontId="0" fillId="0" borderId="0" xfId="0" applyBorder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9" fillId="0" borderId="0" xfId="0" applyFont="1" applyAlignment="1"/>
    <xf numFmtId="0" fontId="5" fillId="0" borderId="0" xfId="43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43" applyFont="1" applyAlignment="1">
      <alignment horizontal="center" wrapText="1"/>
    </xf>
    <xf numFmtId="0" fontId="6" fillId="0" borderId="0" xfId="0" applyFont="1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Com - O-C Diagr.</a:t>
            </a:r>
          </a:p>
        </c:rich>
      </c:tx>
      <c:layout>
        <c:manualLayout>
          <c:xMode val="edge"/>
          <c:yMode val="edge"/>
          <c:x val="0.396052907860201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7369190332796"/>
          <c:y val="0.14814859468012961"/>
          <c:w val="0.83947422355200418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78.5</c:v>
                </c:pt>
                <c:pt idx="4">
                  <c:v>129</c:v>
                </c:pt>
                <c:pt idx="5">
                  <c:v>8051.5</c:v>
                </c:pt>
                <c:pt idx="6">
                  <c:v>10233</c:v>
                </c:pt>
                <c:pt idx="7">
                  <c:v>10269.5</c:v>
                </c:pt>
                <c:pt idx="8">
                  <c:v>10292</c:v>
                </c:pt>
                <c:pt idx="9">
                  <c:v>10292.5</c:v>
                </c:pt>
                <c:pt idx="10">
                  <c:v>10303.5</c:v>
                </c:pt>
                <c:pt idx="11">
                  <c:v>11331.5</c:v>
                </c:pt>
                <c:pt idx="12">
                  <c:v>11348.5</c:v>
                </c:pt>
                <c:pt idx="13">
                  <c:v>11349</c:v>
                </c:pt>
                <c:pt idx="14">
                  <c:v>11362.5</c:v>
                </c:pt>
                <c:pt idx="15">
                  <c:v>11362.5</c:v>
                </c:pt>
                <c:pt idx="16">
                  <c:v>12304</c:v>
                </c:pt>
                <c:pt idx="17">
                  <c:v>12335</c:v>
                </c:pt>
                <c:pt idx="18">
                  <c:v>12335.5</c:v>
                </c:pt>
                <c:pt idx="19">
                  <c:v>12368.5</c:v>
                </c:pt>
                <c:pt idx="20">
                  <c:v>12369</c:v>
                </c:pt>
                <c:pt idx="21">
                  <c:v>12371.5</c:v>
                </c:pt>
                <c:pt idx="22">
                  <c:v>12405</c:v>
                </c:pt>
                <c:pt idx="23">
                  <c:v>13168</c:v>
                </c:pt>
                <c:pt idx="24">
                  <c:v>13304.5</c:v>
                </c:pt>
                <c:pt idx="25">
                  <c:v>13305</c:v>
                </c:pt>
                <c:pt idx="26">
                  <c:v>13489.5</c:v>
                </c:pt>
                <c:pt idx="27">
                  <c:v>14403</c:v>
                </c:pt>
                <c:pt idx="28">
                  <c:v>14403</c:v>
                </c:pt>
                <c:pt idx="29">
                  <c:v>14481.5</c:v>
                </c:pt>
                <c:pt idx="30">
                  <c:v>14481.5</c:v>
                </c:pt>
                <c:pt idx="31">
                  <c:v>15308.5</c:v>
                </c:pt>
                <c:pt idx="32">
                  <c:v>15372.5</c:v>
                </c:pt>
                <c:pt idx="33">
                  <c:v>15485</c:v>
                </c:pt>
                <c:pt idx="34">
                  <c:v>16365</c:v>
                </c:pt>
                <c:pt idx="35">
                  <c:v>16365.5</c:v>
                </c:pt>
                <c:pt idx="36">
                  <c:v>16412.5</c:v>
                </c:pt>
                <c:pt idx="37">
                  <c:v>16435</c:v>
                </c:pt>
                <c:pt idx="38">
                  <c:v>17388</c:v>
                </c:pt>
                <c:pt idx="39">
                  <c:v>17438</c:v>
                </c:pt>
                <c:pt idx="40">
                  <c:v>18472</c:v>
                </c:pt>
                <c:pt idx="41">
                  <c:v>18472.5</c:v>
                </c:pt>
                <c:pt idx="42">
                  <c:v>18609.5</c:v>
                </c:pt>
                <c:pt idx="43">
                  <c:v>21502.5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7-44D5-B9BC-8410D4E905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78.5</c:v>
                </c:pt>
                <c:pt idx="4">
                  <c:v>129</c:v>
                </c:pt>
                <c:pt idx="5">
                  <c:v>8051.5</c:v>
                </c:pt>
                <c:pt idx="6">
                  <c:v>10233</c:v>
                </c:pt>
                <c:pt idx="7">
                  <c:v>10269.5</c:v>
                </c:pt>
                <c:pt idx="8">
                  <c:v>10292</c:v>
                </c:pt>
                <c:pt idx="9">
                  <c:v>10292.5</c:v>
                </c:pt>
                <c:pt idx="10">
                  <c:v>10303.5</c:v>
                </c:pt>
                <c:pt idx="11">
                  <c:v>11331.5</c:v>
                </c:pt>
                <c:pt idx="12">
                  <c:v>11348.5</c:v>
                </c:pt>
                <c:pt idx="13">
                  <c:v>11349</c:v>
                </c:pt>
                <c:pt idx="14">
                  <c:v>11362.5</c:v>
                </c:pt>
                <c:pt idx="15">
                  <c:v>11362.5</c:v>
                </c:pt>
                <c:pt idx="16">
                  <c:v>12304</c:v>
                </c:pt>
                <c:pt idx="17">
                  <c:v>12335</c:v>
                </c:pt>
                <c:pt idx="18">
                  <c:v>12335.5</c:v>
                </c:pt>
                <c:pt idx="19">
                  <c:v>12368.5</c:v>
                </c:pt>
                <c:pt idx="20">
                  <c:v>12369</c:v>
                </c:pt>
                <c:pt idx="21">
                  <c:v>12371.5</c:v>
                </c:pt>
                <c:pt idx="22">
                  <c:v>12405</c:v>
                </c:pt>
                <c:pt idx="23">
                  <c:v>13168</c:v>
                </c:pt>
                <c:pt idx="24">
                  <c:v>13304.5</c:v>
                </c:pt>
                <c:pt idx="25">
                  <c:v>13305</c:v>
                </c:pt>
                <c:pt idx="26">
                  <c:v>13489.5</c:v>
                </c:pt>
                <c:pt idx="27">
                  <c:v>14403</c:v>
                </c:pt>
                <c:pt idx="28">
                  <c:v>14403</c:v>
                </c:pt>
                <c:pt idx="29">
                  <c:v>14481.5</c:v>
                </c:pt>
                <c:pt idx="30">
                  <c:v>14481.5</c:v>
                </c:pt>
                <c:pt idx="31">
                  <c:v>15308.5</c:v>
                </c:pt>
                <c:pt idx="32">
                  <c:v>15372.5</c:v>
                </c:pt>
                <c:pt idx="33">
                  <c:v>15485</c:v>
                </c:pt>
                <c:pt idx="34">
                  <c:v>16365</c:v>
                </c:pt>
                <c:pt idx="35">
                  <c:v>16365.5</c:v>
                </c:pt>
                <c:pt idx="36">
                  <c:v>16412.5</c:v>
                </c:pt>
                <c:pt idx="37">
                  <c:v>16435</c:v>
                </c:pt>
                <c:pt idx="38">
                  <c:v>17388</c:v>
                </c:pt>
                <c:pt idx="39">
                  <c:v>17438</c:v>
                </c:pt>
                <c:pt idx="40">
                  <c:v>18472</c:v>
                </c:pt>
                <c:pt idx="41">
                  <c:v>18472.5</c:v>
                </c:pt>
                <c:pt idx="42">
                  <c:v>18609.5</c:v>
                </c:pt>
                <c:pt idx="43">
                  <c:v>21502.5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7-44D5-B9BC-8410D4E905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78.5</c:v>
                </c:pt>
                <c:pt idx="4">
                  <c:v>129</c:v>
                </c:pt>
                <c:pt idx="5">
                  <c:v>8051.5</c:v>
                </c:pt>
                <c:pt idx="6">
                  <c:v>10233</c:v>
                </c:pt>
                <c:pt idx="7">
                  <c:v>10269.5</c:v>
                </c:pt>
                <c:pt idx="8">
                  <c:v>10292</c:v>
                </c:pt>
                <c:pt idx="9">
                  <c:v>10292.5</c:v>
                </c:pt>
                <c:pt idx="10">
                  <c:v>10303.5</c:v>
                </c:pt>
                <c:pt idx="11">
                  <c:v>11331.5</c:v>
                </c:pt>
                <c:pt idx="12">
                  <c:v>11348.5</c:v>
                </c:pt>
                <c:pt idx="13">
                  <c:v>11349</c:v>
                </c:pt>
                <c:pt idx="14">
                  <c:v>11362.5</c:v>
                </c:pt>
                <c:pt idx="15">
                  <c:v>11362.5</c:v>
                </c:pt>
                <c:pt idx="16">
                  <c:v>12304</c:v>
                </c:pt>
                <c:pt idx="17">
                  <c:v>12335</c:v>
                </c:pt>
                <c:pt idx="18">
                  <c:v>12335.5</c:v>
                </c:pt>
                <c:pt idx="19">
                  <c:v>12368.5</c:v>
                </c:pt>
                <c:pt idx="20">
                  <c:v>12369</c:v>
                </c:pt>
                <c:pt idx="21">
                  <c:v>12371.5</c:v>
                </c:pt>
                <c:pt idx="22">
                  <c:v>12405</c:v>
                </c:pt>
                <c:pt idx="23">
                  <c:v>13168</c:v>
                </c:pt>
                <c:pt idx="24">
                  <c:v>13304.5</c:v>
                </c:pt>
                <c:pt idx="25">
                  <c:v>13305</c:v>
                </c:pt>
                <c:pt idx="26">
                  <c:v>13489.5</c:v>
                </c:pt>
                <c:pt idx="27">
                  <c:v>14403</c:v>
                </c:pt>
                <c:pt idx="28">
                  <c:v>14403</c:v>
                </c:pt>
                <c:pt idx="29">
                  <c:v>14481.5</c:v>
                </c:pt>
                <c:pt idx="30">
                  <c:v>14481.5</c:v>
                </c:pt>
                <c:pt idx="31">
                  <c:v>15308.5</c:v>
                </c:pt>
                <c:pt idx="32">
                  <c:v>15372.5</c:v>
                </c:pt>
                <c:pt idx="33">
                  <c:v>15485</c:v>
                </c:pt>
                <c:pt idx="34">
                  <c:v>16365</c:v>
                </c:pt>
                <c:pt idx="35">
                  <c:v>16365.5</c:v>
                </c:pt>
                <c:pt idx="36">
                  <c:v>16412.5</c:v>
                </c:pt>
                <c:pt idx="37">
                  <c:v>16435</c:v>
                </c:pt>
                <c:pt idx="38">
                  <c:v>17388</c:v>
                </c:pt>
                <c:pt idx="39">
                  <c:v>17438</c:v>
                </c:pt>
                <c:pt idx="40">
                  <c:v>18472</c:v>
                </c:pt>
                <c:pt idx="41">
                  <c:v>18472.5</c:v>
                </c:pt>
                <c:pt idx="42">
                  <c:v>18609.5</c:v>
                </c:pt>
                <c:pt idx="43">
                  <c:v>21502.5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8">
                  <c:v>-4.4563999996171333E-2</c:v>
                </c:pt>
                <c:pt idx="9">
                  <c:v>-4.368399999657413E-2</c:v>
                </c:pt>
                <c:pt idx="10">
                  <c:v>-4.4324000002234243E-2</c:v>
                </c:pt>
                <c:pt idx="12">
                  <c:v>-4.6323999995365739E-2</c:v>
                </c:pt>
                <c:pt idx="13">
                  <c:v>-4.894399999466259E-2</c:v>
                </c:pt>
                <c:pt idx="17">
                  <c:v>-5.3383999998914078E-2</c:v>
                </c:pt>
                <c:pt idx="18">
                  <c:v>-5.2803999999014195E-2</c:v>
                </c:pt>
                <c:pt idx="21">
                  <c:v>-5.254399999830639E-2</c:v>
                </c:pt>
                <c:pt idx="24">
                  <c:v>-5.8863999998720828E-2</c:v>
                </c:pt>
                <c:pt idx="25">
                  <c:v>-5.9783999997307546E-2</c:v>
                </c:pt>
                <c:pt idx="34">
                  <c:v>-7.3883999997633509E-2</c:v>
                </c:pt>
                <c:pt idx="35">
                  <c:v>-7.7003999991575256E-2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57-44D5-B9BC-8410D4E905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78.5</c:v>
                </c:pt>
                <c:pt idx="4">
                  <c:v>129</c:v>
                </c:pt>
                <c:pt idx="5">
                  <c:v>8051.5</c:v>
                </c:pt>
                <c:pt idx="6">
                  <c:v>10233</c:v>
                </c:pt>
                <c:pt idx="7">
                  <c:v>10269.5</c:v>
                </c:pt>
                <c:pt idx="8">
                  <c:v>10292</c:v>
                </c:pt>
                <c:pt idx="9">
                  <c:v>10292.5</c:v>
                </c:pt>
                <c:pt idx="10">
                  <c:v>10303.5</c:v>
                </c:pt>
                <c:pt idx="11">
                  <c:v>11331.5</c:v>
                </c:pt>
                <c:pt idx="12">
                  <c:v>11348.5</c:v>
                </c:pt>
                <c:pt idx="13">
                  <c:v>11349</c:v>
                </c:pt>
                <c:pt idx="14">
                  <c:v>11362.5</c:v>
                </c:pt>
                <c:pt idx="15">
                  <c:v>11362.5</c:v>
                </c:pt>
                <c:pt idx="16">
                  <c:v>12304</c:v>
                </c:pt>
                <c:pt idx="17">
                  <c:v>12335</c:v>
                </c:pt>
                <c:pt idx="18">
                  <c:v>12335.5</c:v>
                </c:pt>
                <c:pt idx="19">
                  <c:v>12368.5</c:v>
                </c:pt>
                <c:pt idx="20">
                  <c:v>12369</c:v>
                </c:pt>
                <c:pt idx="21">
                  <c:v>12371.5</c:v>
                </c:pt>
                <c:pt idx="22">
                  <c:v>12405</c:v>
                </c:pt>
                <c:pt idx="23">
                  <c:v>13168</c:v>
                </c:pt>
                <c:pt idx="24">
                  <c:v>13304.5</c:v>
                </c:pt>
                <c:pt idx="25">
                  <c:v>13305</c:v>
                </c:pt>
                <c:pt idx="26">
                  <c:v>13489.5</c:v>
                </c:pt>
                <c:pt idx="27">
                  <c:v>14403</c:v>
                </c:pt>
                <c:pt idx="28">
                  <c:v>14403</c:v>
                </c:pt>
                <c:pt idx="29">
                  <c:v>14481.5</c:v>
                </c:pt>
                <c:pt idx="30">
                  <c:v>14481.5</c:v>
                </c:pt>
                <c:pt idx="31">
                  <c:v>15308.5</c:v>
                </c:pt>
                <c:pt idx="32">
                  <c:v>15372.5</c:v>
                </c:pt>
                <c:pt idx="33">
                  <c:v>15485</c:v>
                </c:pt>
                <c:pt idx="34">
                  <c:v>16365</c:v>
                </c:pt>
                <c:pt idx="35">
                  <c:v>16365.5</c:v>
                </c:pt>
                <c:pt idx="36">
                  <c:v>16412.5</c:v>
                </c:pt>
                <c:pt idx="37">
                  <c:v>16435</c:v>
                </c:pt>
                <c:pt idx="38">
                  <c:v>17388</c:v>
                </c:pt>
                <c:pt idx="39">
                  <c:v>17438</c:v>
                </c:pt>
                <c:pt idx="40">
                  <c:v>18472</c:v>
                </c:pt>
                <c:pt idx="41">
                  <c:v>18472.5</c:v>
                </c:pt>
                <c:pt idx="42">
                  <c:v>18609.5</c:v>
                </c:pt>
                <c:pt idx="43">
                  <c:v>21502.5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6">
                  <c:v>-4.3493999997735955E-2</c:v>
                </c:pt>
                <c:pt idx="7">
                  <c:v>-4.3343999990611337E-2</c:v>
                </c:pt>
                <c:pt idx="11">
                  <c:v>-5.0113999997847714E-2</c:v>
                </c:pt>
                <c:pt idx="14">
                  <c:v>-4.7403999997186475E-2</c:v>
                </c:pt>
                <c:pt idx="15">
                  <c:v>-4.6703999993042089E-2</c:v>
                </c:pt>
                <c:pt idx="16">
                  <c:v>-5.3943999999319203E-2</c:v>
                </c:pt>
                <c:pt idx="19">
                  <c:v>-5.344399999739835E-2</c:v>
                </c:pt>
                <c:pt idx="20">
                  <c:v>-5.5194000000483356E-2</c:v>
                </c:pt>
                <c:pt idx="22">
                  <c:v>-5.5024000001139939E-2</c:v>
                </c:pt>
                <c:pt idx="23">
                  <c:v>-5.9324000001652166E-2</c:v>
                </c:pt>
                <c:pt idx="26">
                  <c:v>-5.9513999993214384E-2</c:v>
                </c:pt>
                <c:pt idx="27">
                  <c:v>-7.3643999996420462E-2</c:v>
                </c:pt>
                <c:pt idx="28">
                  <c:v>-6.6423999996914063E-2</c:v>
                </c:pt>
                <c:pt idx="29">
                  <c:v>-6.9843999990553129E-2</c:v>
                </c:pt>
                <c:pt idx="30">
                  <c:v>-6.4303999992262106E-2</c:v>
                </c:pt>
                <c:pt idx="31">
                  <c:v>-6.9724000000860542E-2</c:v>
                </c:pt>
                <c:pt idx="33">
                  <c:v>-7.1933999992324971E-2</c:v>
                </c:pt>
                <c:pt idx="36">
                  <c:v>-7.4503999996522907E-2</c:v>
                </c:pt>
                <c:pt idx="37">
                  <c:v>-7.6563999995414633E-2</c:v>
                </c:pt>
                <c:pt idx="38">
                  <c:v>-8.5503999995125923E-2</c:v>
                </c:pt>
                <c:pt idx="39">
                  <c:v>-7.980400000087684E-2</c:v>
                </c:pt>
                <c:pt idx="40">
                  <c:v>-8.5563999993610196E-2</c:v>
                </c:pt>
                <c:pt idx="41">
                  <c:v>-8.3583999999973457E-2</c:v>
                </c:pt>
                <c:pt idx="42">
                  <c:v>-8.3354000140388962E-2</c:v>
                </c:pt>
                <c:pt idx="43">
                  <c:v>-9.7584000002825633E-2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57-44D5-B9BC-8410D4E905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78.5</c:v>
                </c:pt>
                <c:pt idx="4">
                  <c:v>129</c:v>
                </c:pt>
                <c:pt idx="5">
                  <c:v>8051.5</c:v>
                </c:pt>
                <c:pt idx="6">
                  <c:v>10233</c:v>
                </c:pt>
                <c:pt idx="7">
                  <c:v>10269.5</c:v>
                </c:pt>
                <c:pt idx="8">
                  <c:v>10292</c:v>
                </c:pt>
                <c:pt idx="9">
                  <c:v>10292.5</c:v>
                </c:pt>
                <c:pt idx="10">
                  <c:v>10303.5</c:v>
                </c:pt>
                <c:pt idx="11">
                  <c:v>11331.5</c:v>
                </c:pt>
                <c:pt idx="12">
                  <c:v>11348.5</c:v>
                </c:pt>
                <c:pt idx="13">
                  <c:v>11349</c:v>
                </c:pt>
                <c:pt idx="14">
                  <c:v>11362.5</c:v>
                </c:pt>
                <c:pt idx="15">
                  <c:v>11362.5</c:v>
                </c:pt>
                <c:pt idx="16">
                  <c:v>12304</c:v>
                </c:pt>
                <c:pt idx="17">
                  <c:v>12335</c:v>
                </c:pt>
                <c:pt idx="18">
                  <c:v>12335.5</c:v>
                </c:pt>
                <c:pt idx="19">
                  <c:v>12368.5</c:v>
                </c:pt>
                <c:pt idx="20">
                  <c:v>12369</c:v>
                </c:pt>
                <c:pt idx="21">
                  <c:v>12371.5</c:v>
                </c:pt>
                <c:pt idx="22">
                  <c:v>12405</c:v>
                </c:pt>
                <c:pt idx="23">
                  <c:v>13168</c:v>
                </c:pt>
                <c:pt idx="24">
                  <c:v>13304.5</c:v>
                </c:pt>
                <c:pt idx="25">
                  <c:v>13305</c:v>
                </c:pt>
                <c:pt idx="26">
                  <c:v>13489.5</c:v>
                </c:pt>
                <c:pt idx="27">
                  <c:v>14403</c:v>
                </c:pt>
                <c:pt idx="28">
                  <c:v>14403</c:v>
                </c:pt>
                <c:pt idx="29">
                  <c:v>14481.5</c:v>
                </c:pt>
                <c:pt idx="30">
                  <c:v>14481.5</c:v>
                </c:pt>
                <c:pt idx="31">
                  <c:v>15308.5</c:v>
                </c:pt>
                <c:pt idx="32">
                  <c:v>15372.5</c:v>
                </c:pt>
                <c:pt idx="33">
                  <c:v>15485</c:v>
                </c:pt>
                <c:pt idx="34">
                  <c:v>16365</c:v>
                </c:pt>
                <c:pt idx="35">
                  <c:v>16365.5</c:v>
                </c:pt>
                <c:pt idx="36">
                  <c:v>16412.5</c:v>
                </c:pt>
                <c:pt idx="37">
                  <c:v>16435</c:v>
                </c:pt>
                <c:pt idx="38">
                  <c:v>17388</c:v>
                </c:pt>
                <c:pt idx="39">
                  <c:v>17438</c:v>
                </c:pt>
                <c:pt idx="40">
                  <c:v>18472</c:v>
                </c:pt>
                <c:pt idx="41">
                  <c:v>18472.5</c:v>
                </c:pt>
                <c:pt idx="42">
                  <c:v>18609.5</c:v>
                </c:pt>
                <c:pt idx="43">
                  <c:v>21502.5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  <c:pt idx="5">
                  <c:v>-3.1944000002113171E-2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57-44D5-B9BC-8410D4E905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78.5</c:v>
                </c:pt>
                <c:pt idx="4">
                  <c:v>129</c:v>
                </c:pt>
                <c:pt idx="5">
                  <c:v>8051.5</c:v>
                </c:pt>
                <c:pt idx="6">
                  <c:v>10233</c:v>
                </c:pt>
                <c:pt idx="7">
                  <c:v>10269.5</c:v>
                </c:pt>
                <c:pt idx="8">
                  <c:v>10292</c:v>
                </c:pt>
                <c:pt idx="9">
                  <c:v>10292.5</c:v>
                </c:pt>
                <c:pt idx="10">
                  <c:v>10303.5</c:v>
                </c:pt>
                <c:pt idx="11">
                  <c:v>11331.5</c:v>
                </c:pt>
                <c:pt idx="12">
                  <c:v>11348.5</c:v>
                </c:pt>
                <c:pt idx="13">
                  <c:v>11349</c:v>
                </c:pt>
                <c:pt idx="14">
                  <c:v>11362.5</c:v>
                </c:pt>
                <c:pt idx="15">
                  <c:v>11362.5</c:v>
                </c:pt>
                <c:pt idx="16">
                  <c:v>12304</c:v>
                </c:pt>
                <c:pt idx="17">
                  <c:v>12335</c:v>
                </c:pt>
                <c:pt idx="18">
                  <c:v>12335.5</c:v>
                </c:pt>
                <c:pt idx="19">
                  <c:v>12368.5</c:v>
                </c:pt>
                <c:pt idx="20">
                  <c:v>12369</c:v>
                </c:pt>
                <c:pt idx="21">
                  <c:v>12371.5</c:v>
                </c:pt>
                <c:pt idx="22">
                  <c:v>12405</c:v>
                </c:pt>
                <c:pt idx="23">
                  <c:v>13168</c:v>
                </c:pt>
                <c:pt idx="24">
                  <c:v>13304.5</c:v>
                </c:pt>
                <c:pt idx="25">
                  <c:v>13305</c:v>
                </c:pt>
                <c:pt idx="26">
                  <c:v>13489.5</c:v>
                </c:pt>
                <c:pt idx="27">
                  <c:v>14403</c:v>
                </c:pt>
                <c:pt idx="28">
                  <c:v>14403</c:v>
                </c:pt>
                <c:pt idx="29">
                  <c:v>14481.5</c:v>
                </c:pt>
                <c:pt idx="30">
                  <c:v>14481.5</c:v>
                </c:pt>
                <c:pt idx="31">
                  <c:v>15308.5</c:v>
                </c:pt>
                <c:pt idx="32">
                  <c:v>15372.5</c:v>
                </c:pt>
                <c:pt idx="33">
                  <c:v>15485</c:v>
                </c:pt>
                <c:pt idx="34">
                  <c:v>16365</c:v>
                </c:pt>
                <c:pt idx="35">
                  <c:v>16365.5</c:v>
                </c:pt>
                <c:pt idx="36">
                  <c:v>16412.5</c:v>
                </c:pt>
                <c:pt idx="37">
                  <c:v>16435</c:v>
                </c:pt>
                <c:pt idx="38">
                  <c:v>17388</c:v>
                </c:pt>
                <c:pt idx="39">
                  <c:v>17438</c:v>
                </c:pt>
                <c:pt idx="40">
                  <c:v>18472</c:v>
                </c:pt>
                <c:pt idx="41">
                  <c:v>18472.5</c:v>
                </c:pt>
                <c:pt idx="42">
                  <c:v>18609.5</c:v>
                </c:pt>
                <c:pt idx="43">
                  <c:v>21502.5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57-44D5-B9BC-8410D4E905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1">
                    <c:v>8.9999999999999998E-4</c:v>
                  </c:pt>
                  <c:pt idx="3">
                    <c:v>5.0000000000000001E-3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8.9999999999999998E-4</c:v>
                  </c:pt>
                  <c:pt idx="11">
                    <c:v>1E-4</c:v>
                  </c:pt>
                  <c:pt idx="12">
                    <c:v>4.7999999999999996E-3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1.6000000000000001E-3</c:v>
                  </c:pt>
                  <c:pt idx="16">
                    <c:v>1E-3</c:v>
                  </c:pt>
                  <c:pt idx="17">
                    <c:v>8.0000000000000004E-4</c:v>
                  </c:pt>
                  <c:pt idx="18">
                    <c:v>1.6999999999999999E-3</c:v>
                  </c:pt>
                  <c:pt idx="19">
                    <c:v>2.0000000000000001E-4</c:v>
                  </c:pt>
                  <c:pt idx="20">
                    <c:v>1.6000000000000001E-3</c:v>
                  </c:pt>
                  <c:pt idx="21">
                    <c:v>1.4E-3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1.8E-3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4.4999999999999999E-4</c:v>
                  </c:pt>
                  <c:pt idx="29">
                    <c:v>2.0000000000000001E-4</c:v>
                  </c:pt>
                  <c:pt idx="30">
                    <c:v>2.1000000000000001E-4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1E-3</c:v>
                  </c:pt>
                  <c:pt idx="35">
                    <c:v>1.8E-3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4.8999999999999998E-3</c:v>
                  </c:pt>
                  <c:pt idx="39">
                    <c:v>8.0000000000000004E-4</c:v>
                  </c:pt>
                  <c:pt idx="40">
                    <c:v>4.0000000000000002E-4</c:v>
                  </c:pt>
                  <c:pt idx="41">
                    <c:v>1.5E-3</c:v>
                  </c:pt>
                  <c:pt idx="42">
                    <c:v>4.0000000000000002E-4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78.5</c:v>
                </c:pt>
                <c:pt idx="4">
                  <c:v>129</c:v>
                </c:pt>
                <c:pt idx="5">
                  <c:v>8051.5</c:v>
                </c:pt>
                <c:pt idx="6">
                  <c:v>10233</c:v>
                </c:pt>
                <c:pt idx="7">
                  <c:v>10269.5</c:v>
                </c:pt>
                <c:pt idx="8">
                  <c:v>10292</c:v>
                </c:pt>
                <c:pt idx="9">
                  <c:v>10292.5</c:v>
                </c:pt>
                <c:pt idx="10">
                  <c:v>10303.5</c:v>
                </c:pt>
                <c:pt idx="11">
                  <c:v>11331.5</c:v>
                </c:pt>
                <c:pt idx="12">
                  <c:v>11348.5</c:v>
                </c:pt>
                <c:pt idx="13">
                  <c:v>11349</c:v>
                </c:pt>
                <c:pt idx="14">
                  <c:v>11362.5</c:v>
                </c:pt>
                <c:pt idx="15">
                  <c:v>11362.5</c:v>
                </c:pt>
                <c:pt idx="16">
                  <c:v>12304</c:v>
                </c:pt>
                <c:pt idx="17">
                  <c:v>12335</c:v>
                </c:pt>
                <c:pt idx="18">
                  <c:v>12335.5</c:v>
                </c:pt>
                <c:pt idx="19">
                  <c:v>12368.5</c:v>
                </c:pt>
                <c:pt idx="20">
                  <c:v>12369</c:v>
                </c:pt>
                <c:pt idx="21">
                  <c:v>12371.5</c:v>
                </c:pt>
                <c:pt idx="22">
                  <c:v>12405</c:v>
                </c:pt>
                <c:pt idx="23">
                  <c:v>13168</c:v>
                </c:pt>
                <c:pt idx="24">
                  <c:v>13304.5</c:v>
                </c:pt>
                <c:pt idx="25">
                  <c:v>13305</c:v>
                </c:pt>
                <c:pt idx="26">
                  <c:v>13489.5</c:v>
                </c:pt>
                <c:pt idx="27">
                  <c:v>14403</c:v>
                </c:pt>
                <c:pt idx="28">
                  <c:v>14403</c:v>
                </c:pt>
                <c:pt idx="29">
                  <c:v>14481.5</c:v>
                </c:pt>
                <c:pt idx="30">
                  <c:v>14481.5</c:v>
                </c:pt>
                <c:pt idx="31">
                  <c:v>15308.5</c:v>
                </c:pt>
                <c:pt idx="32">
                  <c:v>15372.5</c:v>
                </c:pt>
                <c:pt idx="33">
                  <c:v>15485</c:v>
                </c:pt>
                <c:pt idx="34">
                  <c:v>16365</c:v>
                </c:pt>
                <c:pt idx="35">
                  <c:v>16365.5</c:v>
                </c:pt>
                <c:pt idx="36">
                  <c:v>16412.5</c:v>
                </c:pt>
                <c:pt idx="37">
                  <c:v>16435</c:v>
                </c:pt>
                <c:pt idx="38">
                  <c:v>17388</c:v>
                </c:pt>
                <c:pt idx="39">
                  <c:v>17438</c:v>
                </c:pt>
                <c:pt idx="40">
                  <c:v>18472</c:v>
                </c:pt>
                <c:pt idx="41">
                  <c:v>18472.5</c:v>
                </c:pt>
                <c:pt idx="42">
                  <c:v>18609.5</c:v>
                </c:pt>
                <c:pt idx="43">
                  <c:v>21502.5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57-44D5-B9BC-8410D4E905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78.5</c:v>
                </c:pt>
                <c:pt idx="4">
                  <c:v>129</c:v>
                </c:pt>
                <c:pt idx="5">
                  <c:v>8051.5</c:v>
                </c:pt>
                <c:pt idx="6">
                  <c:v>10233</c:v>
                </c:pt>
                <c:pt idx="7">
                  <c:v>10269.5</c:v>
                </c:pt>
                <c:pt idx="8">
                  <c:v>10292</c:v>
                </c:pt>
                <c:pt idx="9">
                  <c:v>10292.5</c:v>
                </c:pt>
                <c:pt idx="10">
                  <c:v>10303.5</c:v>
                </c:pt>
                <c:pt idx="11">
                  <c:v>11331.5</c:v>
                </c:pt>
                <c:pt idx="12">
                  <c:v>11348.5</c:v>
                </c:pt>
                <c:pt idx="13">
                  <c:v>11349</c:v>
                </c:pt>
                <c:pt idx="14">
                  <c:v>11362.5</c:v>
                </c:pt>
                <c:pt idx="15">
                  <c:v>11362.5</c:v>
                </c:pt>
                <c:pt idx="16">
                  <c:v>12304</c:v>
                </c:pt>
                <c:pt idx="17">
                  <c:v>12335</c:v>
                </c:pt>
                <c:pt idx="18">
                  <c:v>12335.5</c:v>
                </c:pt>
                <c:pt idx="19">
                  <c:v>12368.5</c:v>
                </c:pt>
                <c:pt idx="20">
                  <c:v>12369</c:v>
                </c:pt>
                <c:pt idx="21">
                  <c:v>12371.5</c:v>
                </c:pt>
                <c:pt idx="22">
                  <c:v>12405</c:v>
                </c:pt>
                <c:pt idx="23">
                  <c:v>13168</c:v>
                </c:pt>
                <c:pt idx="24">
                  <c:v>13304.5</c:v>
                </c:pt>
                <c:pt idx="25">
                  <c:v>13305</c:v>
                </c:pt>
                <c:pt idx="26">
                  <c:v>13489.5</c:v>
                </c:pt>
                <c:pt idx="27">
                  <c:v>14403</c:v>
                </c:pt>
                <c:pt idx="28">
                  <c:v>14403</c:v>
                </c:pt>
                <c:pt idx="29">
                  <c:v>14481.5</c:v>
                </c:pt>
                <c:pt idx="30">
                  <c:v>14481.5</c:v>
                </c:pt>
                <c:pt idx="31">
                  <c:v>15308.5</c:v>
                </c:pt>
                <c:pt idx="32">
                  <c:v>15372.5</c:v>
                </c:pt>
                <c:pt idx="33">
                  <c:v>15485</c:v>
                </c:pt>
                <c:pt idx="34">
                  <c:v>16365</c:v>
                </c:pt>
                <c:pt idx="35">
                  <c:v>16365.5</c:v>
                </c:pt>
                <c:pt idx="36">
                  <c:v>16412.5</c:v>
                </c:pt>
                <c:pt idx="37">
                  <c:v>16435</c:v>
                </c:pt>
                <c:pt idx="38">
                  <c:v>17388</c:v>
                </c:pt>
                <c:pt idx="39">
                  <c:v>17438</c:v>
                </c:pt>
                <c:pt idx="40">
                  <c:v>18472</c:v>
                </c:pt>
                <c:pt idx="41">
                  <c:v>18472.5</c:v>
                </c:pt>
                <c:pt idx="42">
                  <c:v>18609.5</c:v>
                </c:pt>
                <c:pt idx="43">
                  <c:v>21502.5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8.9037987057432946E-3</c:v>
                </c:pt>
                <c:pt idx="1">
                  <c:v>8.9037987057432946E-3</c:v>
                </c:pt>
                <c:pt idx="2">
                  <c:v>8.6474417045056349E-3</c:v>
                </c:pt>
                <c:pt idx="3">
                  <c:v>8.5013182138001676E-3</c:v>
                </c:pt>
                <c:pt idx="4">
                  <c:v>8.2423976425501314E-3</c:v>
                </c:pt>
                <c:pt idx="5">
                  <c:v>-3.237736920355716E-2</c:v>
                </c:pt>
                <c:pt idx="6">
                  <c:v>-4.3562225167556284E-2</c:v>
                </c:pt>
                <c:pt idx="7">
                  <c:v>-4.3749365778459774E-2</c:v>
                </c:pt>
                <c:pt idx="8">
                  <c:v>-4.3864726429016718E-2</c:v>
                </c:pt>
                <c:pt idx="9">
                  <c:v>-4.3867289999029099E-2</c:v>
                </c:pt>
                <c:pt idx="10">
                  <c:v>-4.3923688539301384E-2</c:v>
                </c:pt>
                <c:pt idx="11">
                  <c:v>-4.9194388484747678E-2</c:v>
                </c:pt>
                <c:pt idx="12">
                  <c:v>-4.9281549865168486E-2</c:v>
                </c:pt>
                <c:pt idx="13">
                  <c:v>-4.9284113435180861E-2</c:v>
                </c:pt>
                <c:pt idx="14">
                  <c:v>-4.9353329825515033E-2</c:v>
                </c:pt>
                <c:pt idx="15">
                  <c:v>-4.9353329825515033E-2</c:v>
                </c:pt>
                <c:pt idx="16">
                  <c:v>-5.4180532158820176E-2</c:v>
                </c:pt>
                <c:pt idx="17">
                  <c:v>-5.433947349958753E-2</c:v>
                </c:pt>
                <c:pt idx="18">
                  <c:v>-5.4342037069599898E-2</c:v>
                </c:pt>
                <c:pt idx="19">
                  <c:v>-5.4511232690416751E-2</c:v>
                </c:pt>
                <c:pt idx="20">
                  <c:v>-5.4513796260429133E-2</c:v>
                </c:pt>
                <c:pt idx="21">
                  <c:v>-5.4526614110491013E-2</c:v>
                </c:pt>
                <c:pt idx="22">
                  <c:v>-5.4698373301320248E-2</c:v>
                </c:pt>
                <c:pt idx="23">
                  <c:v>-5.8610381140206953E-2</c:v>
                </c:pt>
                <c:pt idx="24">
                  <c:v>-5.9310235753585759E-2</c:v>
                </c:pt>
                <c:pt idx="25">
                  <c:v>-5.9312799323598141E-2</c:v>
                </c:pt>
                <c:pt idx="26">
                  <c:v>-6.0258756658165109E-2</c:v>
                </c:pt>
                <c:pt idx="27">
                  <c:v>-6.4942399070777146E-2</c:v>
                </c:pt>
                <c:pt idx="28">
                  <c:v>-6.4942399070777146E-2</c:v>
                </c:pt>
                <c:pt idx="29">
                  <c:v>-6.5344879562720282E-2</c:v>
                </c:pt>
                <c:pt idx="30">
                  <c:v>-6.5344879562720282E-2</c:v>
                </c:pt>
                <c:pt idx="31">
                  <c:v>-6.9585024363191195E-2</c:v>
                </c:pt>
                <c:pt idx="32">
                  <c:v>-6.9913161324775402E-2</c:v>
                </c:pt>
                <c:pt idx="33">
                  <c:v>-7.0489964577560127E-2</c:v>
                </c:pt>
                <c:pt idx="34">
                  <c:v>-7.5001847799342963E-2</c:v>
                </c:pt>
                <c:pt idx="35">
                  <c:v>-7.5004411369355317E-2</c:v>
                </c:pt>
                <c:pt idx="36">
                  <c:v>-7.5245386950518717E-2</c:v>
                </c:pt>
                <c:pt idx="37">
                  <c:v>-7.5360747601075667E-2</c:v>
                </c:pt>
                <c:pt idx="38">
                  <c:v>-8.0246912044665497E-2</c:v>
                </c:pt>
                <c:pt idx="39">
                  <c:v>-8.0503269045903131E-2</c:v>
                </c:pt>
                <c:pt idx="40">
                  <c:v>-8.5804731831497949E-2</c:v>
                </c:pt>
                <c:pt idx="41">
                  <c:v>-8.5807295401510331E-2</c:v>
                </c:pt>
                <c:pt idx="42">
                  <c:v>-8.6509713584901532E-2</c:v>
                </c:pt>
                <c:pt idx="43">
                  <c:v>-0.10134252967651255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57-44D5-B9BC-8410D4E905DA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78.5</c:v>
                </c:pt>
                <c:pt idx="4">
                  <c:v>129</c:v>
                </c:pt>
                <c:pt idx="5">
                  <c:v>8051.5</c:v>
                </c:pt>
                <c:pt idx="6">
                  <c:v>10233</c:v>
                </c:pt>
                <c:pt idx="7">
                  <c:v>10269.5</c:v>
                </c:pt>
                <c:pt idx="8">
                  <c:v>10292</c:v>
                </c:pt>
                <c:pt idx="9">
                  <c:v>10292.5</c:v>
                </c:pt>
                <c:pt idx="10">
                  <c:v>10303.5</c:v>
                </c:pt>
                <c:pt idx="11">
                  <c:v>11331.5</c:v>
                </c:pt>
                <c:pt idx="12">
                  <c:v>11348.5</c:v>
                </c:pt>
                <c:pt idx="13">
                  <c:v>11349</c:v>
                </c:pt>
                <c:pt idx="14">
                  <c:v>11362.5</c:v>
                </c:pt>
                <c:pt idx="15">
                  <c:v>11362.5</c:v>
                </c:pt>
                <c:pt idx="16">
                  <c:v>12304</c:v>
                </c:pt>
                <c:pt idx="17">
                  <c:v>12335</c:v>
                </c:pt>
                <c:pt idx="18">
                  <c:v>12335.5</c:v>
                </c:pt>
                <c:pt idx="19">
                  <c:v>12368.5</c:v>
                </c:pt>
                <c:pt idx="20">
                  <c:v>12369</c:v>
                </c:pt>
                <c:pt idx="21">
                  <c:v>12371.5</c:v>
                </c:pt>
                <c:pt idx="22">
                  <c:v>12405</c:v>
                </c:pt>
                <c:pt idx="23">
                  <c:v>13168</c:v>
                </c:pt>
                <c:pt idx="24">
                  <c:v>13304.5</c:v>
                </c:pt>
                <c:pt idx="25">
                  <c:v>13305</c:v>
                </c:pt>
                <c:pt idx="26">
                  <c:v>13489.5</c:v>
                </c:pt>
                <c:pt idx="27">
                  <c:v>14403</c:v>
                </c:pt>
                <c:pt idx="28">
                  <c:v>14403</c:v>
                </c:pt>
                <c:pt idx="29">
                  <c:v>14481.5</c:v>
                </c:pt>
                <c:pt idx="30">
                  <c:v>14481.5</c:v>
                </c:pt>
                <c:pt idx="31">
                  <c:v>15308.5</c:v>
                </c:pt>
                <c:pt idx="32">
                  <c:v>15372.5</c:v>
                </c:pt>
                <c:pt idx="33">
                  <c:v>15485</c:v>
                </c:pt>
                <c:pt idx="34">
                  <c:v>16365</c:v>
                </c:pt>
                <c:pt idx="35">
                  <c:v>16365.5</c:v>
                </c:pt>
                <c:pt idx="36">
                  <c:v>16412.5</c:v>
                </c:pt>
                <c:pt idx="37">
                  <c:v>16435</c:v>
                </c:pt>
                <c:pt idx="38">
                  <c:v>17388</c:v>
                </c:pt>
                <c:pt idx="39">
                  <c:v>17438</c:v>
                </c:pt>
                <c:pt idx="40">
                  <c:v>18472</c:v>
                </c:pt>
                <c:pt idx="41">
                  <c:v>18472.5</c:v>
                </c:pt>
                <c:pt idx="42">
                  <c:v>18609.5</c:v>
                </c:pt>
                <c:pt idx="43">
                  <c:v>21502.5</c:v>
                </c:pt>
              </c:numCache>
            </c:numRef>
          </c:xVal>
          <c:yVal>
            <c:numRef>
              <c:f>Active!$V$21:$V$981</c:f>
              <c:numCache>
                <c:formatCode>General</c:formatCode>
                <c:ptCount val="961"/>
                <c:pt idx="0">
                  <c:v>0</c:v>
                </c:pt>
                <c:pt idx="1">
                  <c:v>4.6160000056261197E-3</c:v>
                </c:pt>
                <c:pt idx="2">
                  <c:v>2.346600000601029E-2</c:v>
                </c:pt>
                <c:pt idx="3">
                  <c:v>1.0776000002806541E-2</c:v>
                </c:pt>
                <c:pt idx="4">
                  <c:v>-9.9019999979645945E-3</c:v>
                </c:pt>
                <c:pt idx="32">
                  <c:v>4.4016000007104594E-2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57-44D5-B9BC-8410D4E90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645984"/>
        <c:axId val="1"/>
      </c:scatterChart>
      <c:valAx>
        <c:axId val="5476459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8448680757007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052631578947366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45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10540129852188"/>
          <c:y val="0.91975600272188196"/>
          <c:w val="0.6592109407376709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</xdr:rowOff>
    </xdr:from>
    <xdr:to>
      <xdr:col>18</xdr:col>
      <xdr:colOff>361950</xdr:colOff>
      <xdr:row>18</xdr:row>
      <xdr:rowOff>28575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B3BD9B29-723B-36CE-C93D-DBBB3339D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var.astro.cz/oejv/issues/oejv0137.pdf" TargetMode="External"/><Relationship Id="rId21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137.pdf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820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www.bav-astro.de/sfs/BAVM_link.php?BAVMnr=220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20" TargetMode="External"/><Relationship Id="rId22" Type="http://schemas.openxmlformats.org/officeDocument/2006/relationships/hyperlink" Target="http://www.bav-astro.de/sfs/BAVM_link.php?BAVMnr=228" TargetMode="External"/><Relationship Id="rId27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workbookViewId="0">
      <pane xSplit="14" ySplit="22" topLeftCell="O5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2" ht="20.25">
      <c r="A1" s="13" t="s">
        <v>36</v>
      </c>
      <c r="B1" s="10"/>
      <c r="D1" s="16"/>
      <c r="E1" s="10"/>
      <c r="F1" s="10"/>
    </row>
    <row r="2" spans="1:22">
      <c r="A2" s="11" t="s">
        <v>25</v>
      </c>
      <c r="B2" s="36" t="s">
        <v>50</v>
      </c>
      <c r="C2" t="s">
        <v>31</v>
      </c>
      <c r="D2" s="10"/>
      <c r="E2" s="10"/>
      <c r="F2" s="10"/>
      <c r="U2">
        <v>0.24575</v>
      </c>
      <c r="V2">
        <v>9.7628892892309051E-3</v>
      </c>
    </row>
    <row r="3" spans="1:22" ht="13.5" thickBot="1"/>
    <row r="4" spans="1:22" ht="13.5" thickBot="1">
      <c r="A4" s="4" t="s">
        <v>2</v>
      </c>
      <c r="C4" s="14" t="s">
        <v>29</v>
      </c>
      <c r="D4" s="15" t="s">
        <v>29</v>
      </c>
    </row>
    <row r="5" spans="1:22">
      <c r="A5" s="22" t="s">
        <v>38</v>
      </c>
      <c r="B5" s="11"/>
      <c r="C5" s="23">
        <v>-9.5</v>
      </c>
      <c r="D5" s="11" t="s">
        <v>39</v>
      </c>
      <c r="U5">
        <v>0.30285000000000001</v>
      </c>
      <c r="V5">
        <v>3.5378235342332594E-2</v>
      </c>
    </row>
    <row r="6" spans="1:22">
      <c r="A6" s="4" t="s">
        <v>3</v>
      </c>
    </row>
    <row r="7" spans="1:22">
      <c r="A7" s="11" t="s">
        <v>4</v>
      </c>
      <c r="B7" s="11"/>
      <c r="C7" s="11">
        <v>51260.853283999997</v>
      </c>
    </row>
    <row r="8" spans="1:22">
      <c r="A8" s="11" t="s">
        <v>5</v>
      </c>
      <c r="B8" s="11"/>
      <c r="C8" s="11">
        <v>0.35683999999999999</v>
      </c>
      <c r="D8" t="s">
        <v>53</v>
      </c>
    </row>
    <row r="9" spans="1:22">
      <c r="A9" s="34" t="s">
        <v>45</v>
      </c>
      <c r="B9" s="35">
        <v>26</v>
      </c>
      <c r="C9" s="25" t="str">
        <f>"F"&amp;B9</f>
        <v>F26</v>
      </c>
      <c r="D9" s="18" t="str">
        <f>"G"&amp;B9</f>
        <v>G26</v>
      </c>
    </row>
    <row r="10" spans="1:22" ht="13.5" thickBot="1">
      <c r="A10" s="11"/>
      <c r="B10" s="11"/>
      <c r="C10" s="3" t="s">
        <v>21</v>
      </c>
      <c r="D10" s="3" t="s">
        <v>22</v>
      </c>
      <c r="E10" s="11"/>
    </row>
    <row r="11" spans="1:22">
      <c r="A11" s="11" t="s">
        <v>17</v>
      </c>
      <c r="B11" s="11"/>
      <c r="C11" s="24">
        <f ca="1">INTERCEPT(INDIRECT($D$9):G981,INDIRECT($C$9):F981)</f>
        <v>8.9037987057432946E-3</v>
      </c>
      <c r="D11" s="2"/>
      <c r="E11" s="11"/>
    </row>
    <row r="12" spans="1:22">
      <c r="A12" s="11" t="s">
        <v>18</v>
      </c>
      <c r="B12" s="11"/>
      <c r="C12" s="24">
        <f ca="1">SLOPE(INDIRECT($D$9):G981,INDIRECT($C$9):F981)</f>
        <v>-5.1271400247532079E-6</v>
      </c>
      <c r="D12" s="2"/>
      <c r="E12" s="11"/>
    </row>
    <row r="13" spans="1:22">
      <c r="A13" s="11" t="s">
        <v>20</v>
      </c>
      <c r="B13" s="11"/>
      <c r="C13" s="2" t="s">
        <v>15</v>
      </c>
    </row>
    <row r="14" spans="1:22">
      <c r="A14" s="11"/>
      <c r="B14" s="11"/>
      <c r="C14" s="11"/>
    </row>
    <row r="15" spans="1:22">
      <c r="A15" s="28" t="s">
        <v>19</v>
      </c>
      <c r="B15" s="11"/>
      <c r="C15" s="29">
        <f ca="1">(C7+C11)+(C8+C12)*INT(MAX(F21:F3522))</f>
        <v>58933.525624033893</v>
      </c>
      <c r="E15" s="26" t="s">
        <v>40</v>
      </c>
      <c r="F15" s="23">
        <v>1</v>
      </c>
    </row>
    <row r="16" spans="1:22">
      <c r="A16" s="12" t="s">
        <v>6</v>
      </c>
      <c r="B16" s="11"/>
      <c r="C16" s="30">
        <f ca="1">+C8+C12</f>
        <v>0.35683487285997523</v>
      </c>
      <c r="E16" s="26" t="s">
        <v>41</v>
      </c>
      <c r="F16" s="27">
        <f ca="1">NOW()+15018.5+$C$5/24</f>
        <v>60339.644567361109</v>
      </c>
    </row>
    <row r="17" spans="1:22" ht="13.5" thickBot="1">
      <c r="A17" s="26" t="s">
        <v>35</v>
      </c>
      <c r="B17" s="11"/>
      <c r="C17" s="11">
        <f>COUNT(C21:C2180)</f>
        <v>44</v>
      </c>
      <c r="E17" s="26" t="s">
        <v>42</v>
      </c>
      <c r="F17" s="27">
        <f ca="1">ROUND(2*(F16-$C$7)/$C$8,0)/2+F15</f>
        <v>25443</v>
      </c>
    </row>
    <row r="18" spans="1:22" ht="14.25" thickTop="1" thickBot="1">
      <c r="A18" s="12" t="s">
        <v>7</v>
      </c>
      <c r="B18" s="11"/>
      <c r="C18" s="32">
        <f ca="1">+C15</f>
        <v>58933.525624033893</v>
      </c>
      <c r="D18" s="33">
        <f ca="1">+C16</f>
        <v>0.35683487285997523</v>
      </c>
      <c r="E18" s="26" t="s">
        <v>43</v>
      </c>
      <c r="F18" s="18">
        <f ca="1">ROUND(2*(F16-$C$15)/$C$16,0)/2+F15</f>
        <v>3941.5</v>
      </c>
    </row>
    <row r="19" spans="1:22" ht="13.5" thickTop="1">
      <c r="E19" s="26" t="s">
        <v>44</v>
      </c>
      <c r="F19" s="31">
        <f ca="1">+$C$15+$C$16*F18-15018.5-$C$5/24</f>
        <v>45321.886108744824</v>
      </c>
      <c r="S19">
        <f ca="1">SQRT(SUM(S22:S29)/(COUNT(S22:S29)-1))</f>
        <v>2.2093059279420816E-3</v>
      </c>
    </row>
    <row r="20" spans="1:22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66</v>
      </c>
      <c r="I20" s="6" t="s">
        <v>69</v>
      </c>
      <c r="J20" s="6" t="s">
        <v>63</v>
      </c>
      <c r="K20" s="6" t="s">
        <v>61</v>
      </c>
      <c r="L20" s="6" t="s">
        <v>34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  <c r="R20" s="63"/>
      <c r="V20" s="43" t="s">
        <v>57</v>
      </c>
    </row>
    <row r="21" spans="1:22">
      <c r="A21" s="11" t="s">
        <v>28</v>
      </c>
      <c r="B21" s="75"/>
      <c r="C21" s="20">
        <v>51260.853283999997</v>
      </c>
      <c r="D21" s="21"/>
      <c r="E21">
        <f t="shared" ref="E21:E50" si="0">+(C21-C$7)/C$8</f>
        <v>0</v>
      </c>
      <c r="F21">
        <f t="shared" ref="F21:F50" si="1">ROUND(2*E21,0)/2</f>
        <v>0</v>
      </c>
      <c r="H21" s="18"/>
      <c r="I21" s="18"/>
      <c r="O21">
        <f t="shared" ref="O21:O50" ca="1" si="2">+C$11+C$12*$F21</f>
        <v>8.9037987057432946E-3</v>
      </c>
      <c r="Q21" s="1">
        <f t="shared" ref="Q21:Q50" si="3">+C21-15018.5</f>
        <v>36242.353283999997</v>
      </c>
      <c r="R21" s="1"/>
      <c r="V21">
        <f>C21-($C$7+$C$8*$F21)</f>
        <v>0</v>
      </c>
    </row>
    <row r="22" spans="1:22">
      <c r="A22" s="19" t="s">
        <v>30</v>
      </c>
      <c r="B22" s="2" t="s">
        <v>32</v>
      </c>
      <c r="C22" s="17">
        <v>51260.857900000003</v>
      </c>
      <c r="D22" s="17">
        <v>8.9999999999999998E-4</v>
      </c>
      <c r="E22">
        <f t="shared" si="0"/>
        <v>1.2935769548330119E-2</v>
      </c>
      <c r="F22">
        <f t="shared" si="1"/>
        <v>0</v>
      </c>
      <c r="H22" s="18"/>
      <c r="I22" s="18"/>
      <c r="O22">
        <f t="shared" ca="1" si="2"/>
        <v>8.9037987057432946E-3</v>
      </c>
      <c r="Q22" s="1">
        <f t="shared" si="3"/>
        <v>36242.357900000003</v>
      </c>
      <c r="R22" s="1"/>
      <c r="S22">
        <f ca="1">(O22-V22)^2</f>
        <v>1.8385217692726534E-5</v>
      </c>
      <c r="V22">
        <f>C22-($C$7+$C$8*$F22)</f>
        <v>4.6160000056261197E-3</v>
      </c>
    </row>
    <row r="23" spans="1:22">
      <c r="A23" s="11" t="s">
        <v>28</v>
      </c>
      <c r="B23" s="76"/>
      <c r="C23" s="20">
        <v>51278.71875</v>
      </c>
      <c r="D23" s="20"/>
      <c r="E23">
        <f t="shared" si="0"/>
        <v>50.065760564967285</v>
      </c>
      <c r="F23">
        <f t="shared" si="1"/>
        <v>50</v>
      </c>
      <c r="H23" s="18"/>
      <c r="I23" s="18"/>
      <c r="O23">
        <f t="shared" ca="1" si="2"/>
        <v>8.6474417045056349E-3</v>
      </c>
      <c r="Q23" s="1">
        <f t="shared" si="3"/>
        <v>36260.21875</v>
      </c>
      <c r="R23" s="1"/>
      <c r="V23">
        <f>C23-($C$7+$C$8*$F23)</f>
        <v>2.346600000601029E-2</v>
      </c>
    </row>
    <row r="24" spans="1:22">
      <c r="A24" s="37" t="s">
        <v>30</v>
      </c>
      <c r="B24" s="38" t="s">
        <v>33</v>
      </c>
      <c r="C24" s="7">
        <v>51288.875999999997</v>
      </c>
      <c r="D24" s="7">
        <v>5.0000000000000001E-3</v>
      </c>
      <c r="E24" s="8">
        <f t="shared" si="0"/>
        <v>78.530198408248765</v>
      </c>
      <c r="F24">
        <f t="shared" si="1"/>
        <v>78.5</v>
      </c>
      <c r="I24" s="18"/>
      <c r="O24">
        <f t="shared" ca="1" si="2"/>
        <v>8.5013182138001676E-3</v>
      </c>
      <c r="Q24" s="1">
        <f t="shared" si="3"/>
        <v>36270.375999999997</v>
      </c>
      <c r="R24" s="1"/>
      <c r="S24">
        <f ca="1">(O24-V24)^2</f>
        <v>5.1741772412372339E-6</v>
      </c>
      <c r="V24">
        <f>C24-($C$7+$C$8*$F24)</f>
        <v>1.0776000002806541E-2</v>
      </c>
    </row>
    <row r="25" spans="1:22">
      <c r="A25" s="9" t="s">
        <v>28</v>
      </c>
      <c r="B25" s="77"/>
      <c r="C25" s="39">
        <v>51306.875741999997</v>
      </c>
      <c r="D25" s="39"/>
      <c r="E25" s="8">
        <f t="shared" si="0"/>
        <v>128.97225086873519</v>
      </c>
      <c r="F25">
        <f t="shared" si="1"/>
        <v>129</v>
      </c>
      <c r="O25">
        <f t="shared" ca="1" si="2"/>
        <v>8.2423976425501314E-3</v>
      </c>
      <c r="Q25" s="1">
        <f t="shared" si="3"/>
        <v>36288.375741999997</v>
      </c>
      <c r="R25" s="1"/>
      <c r="V25">
        <f>C25-($C$7+$C$8*$F25)</f>
        <v>-9.9019999979645945E-3</v>
      </c>
    </row>
    <row r="26" spans="1:22">
      <c r="A26" s="40" t="s">
        <v>37</v>
      </c>
      <c r="B26" s="38"/>
      <c r="C26" s="7">
        <v>54133.918599999997</v>
      </c>
      <c r="D26" s="7">
        <v>5.0000000000000001E-4</v>
      </c>
      <c r="E26" s="8">
        <f t="shared" si="0"/>
        <v>8051.4104808877937</v>
      </c>
      <c r="F26">
        <f t="shared" si="1"/>
        <v>8051.5</v>
      </c>
      <c r="G26">
        <f t="shared" ref="G26:G50" si="4">C26-($C$7+$C$8*$F26)</f>
        <v>-3.1944000002113171E-2</v>
      </c>
      <c r="L26">
        <f>+G26</f>
        <v>-3.1944000002113171E-2</v>
      </c>
      <c r="O26">
        <f t="shared" ca="1" si="2"/>
        <v>-3.237736920355716E-2</v>
      </c>
      <c r="Q26" s="1">
        <f t="shared" si="3"/>
        <v>39115.418599999997</v>
      </c>
      <c r="R26" s="1"/>
      <c r="S26">
        <f t="shared" ref="S26:S50" ca="1" si="5">(O26-G26)^2</f>
        <v>1.8780886476020105E-7</v>
      </c>
      <c r="V26" s="44"/>
    </row>
    <row r="27" spans="1:22">
      <c r="A27" s="9" t="s">
        <v>46</v>
      </c>
      <c r="B27" s="38" t="s">
        <v>32</v>
      </c>
      <c r="C27" s="7">
        <v>54912.353510000001</v>
      </c>
      <c r="D27" s="7">
        <v>2E-3</v>
      </c>
      <c r="E27" s="8">
        <f t="shared" si="0"/>
        <v>10232.878113440209</v>
      </c>
      <c r="F27">
        <f t="shared" si="1"/>
        <v>10233</v>
      </c>
      <c r="G27">
        <f t="shared" si="4"/>
        <v>-4.3493999997735955E-2</v>
      </c>
      <c r="K27">
        <f>+G27</f>
        <v>-4.3493999997735955E-2</v>
      </c>
      <c r="O27">
        <f t="shared" ca="1" si="2"/>
        <v>-4.3562225167556284E-2</v>
      </c>
      <c r="Q27" s="1">
        <f t="shared" si="3"/>
        <v>39893.853510000001</v>
      </c>
      <c r="R27" s="1"/>
      <c r="S27">
        <f t="shared" ca="1" si="5"/>
        <v>4.6546737970128072E-9</v>
      </c>
      <c r="V27" s="44"/>
    </row>
    <row r="28" spans="1:22">
      <c r="A28" s="9" t="s">
        <v>46</v>
      </c>
      <c r="B28" s="38" t="s">
        <v>33</v>
      </c>
      <c r="C28" s="7">
        <v>54925.378320000003</v>
      </c>
      <c r="D28" s="7">
        <v>2E-3</v>
      </c>
      <c r="E28" s="8">
        <f t="shared" si="0"/>
        <v>10269.378533796678</v>
      </c>
      <c r="F28">
        <f t="shared" si="1"/>
        <v>10269.5</v>
      </c>
      <c r="G28">
        <f t="shared" si="4"/>
        <v>-4.3343999990611337E-2</v>
      </c>
      <c r="K28">
        <f>+G28</f>
        <v>-4.3343999990611337E-2</v>
      </c>
      <c r="O28">
        <f t="shared" ca="1" si="2"/>
        <v>-4.3749365778459774E-2</v>
      </c>
      <c r="Q28" s="1">
        <f t="shared" si="3"/>
        <v>39906.878320000003</v>
      </c>
      <c r="R28" s="1"/>
      <c r="S28">
        <f t="shared" ca="1" si="5"/>
        <v>1.643214219579841E-7</v>
      </c>
      <c r="V28" s="44"/>
    </row>
    <row r="29" spans="1:22">
      <c r="A29" s="41" t="s">
        <v>47</v>
      </c>
      <c r="B29" s="42" t="s">
        <v>32</v>
      </c>
      <c r="C29" s="41">
        <v>54933.406000000003</v>
      </c>
      <c r="D29" s="41">
        <v>5.9999999999999995E-4</v>
      </c>
      <c r="E29" s="8">
        <f t="shared" si="0"/>
        <v>10291.87511489745</v>
      </c>
      <c r="F29">
        <f t="shared" si="1"/>
        <v>10292</v>
      </c>
      <c r="G29">
        <f t="shared" si="4"/>
        <v>-4.4563999996171333E-2</v>
      </c>
      <c r="J29">
        <f>+G29</f>
        <v>-4.4563999996171333E-2</v>
      </c>
      <c r="O29">
        <f t="shared" ca="1" si="2"/>
        <v>-4.3864726429016718E-2</v>
      </c>
      <c r="Q29" s="1">
        <f t="shared" si="3"/>
        <v>39914.906000000003</v>
      </c>
      <c r="R29" s="1"/>
      <c r="S29">
        <f t="shared" ca="1" si="5"/>
        <v>4.8898352172114018E-7</v>
      </c>
      <c r="V29" s="44"/>
    </row>
    <row r="30" spans="1:22">
      <c r="A30" s="41" t="s">
        <v>47</v>
      </c>
      <c r="B30" s="42" t="s">
        <v>32</v>
      </c>
      <c r="C30" s="41">
        <v>54933.585299999999</v>
      </c>
      <c r="D30" s="41">
        <v>1.1000000000000001E-3</v>
      </c>
      <c r="E30" s="8">
        <f t="shared" si="0"/>
        <v>10292.377580988683</v>
      </c>
      <c r="F30">
        <f t="shared" si="1"/>
        <v>10292.5</v>
      </c>
      <c r="G30">
        <f t="shared" si="4"/>
        <v>-4.368399999657413E-2</v>
      </c>
      <c r="J30">
        <f>+G30</f>
        <v>-4.368399999657413E-2</v>
      </c>
      <c r="O30">
        <f t="shared" ca="1" si="2"/>
        <v>-4.3867289999029099E-2</v>
      </c>
      <c r="Q30" s="1">
        <f t="shared" si="3"/>
        <v>39915.085299999999</v>
      </c>
      <c r="R30" s="1"/>
      <c r="S30">
        <f t="shared" ca="1" si="5"/>
        <v>3.3595224999942693E-8</v>
      </c>
      <c r="V30" s="44"/>
    </row>
    <row r="31" spans="1:22">
      <c r="A31" s="41" t="s">
        <v>47</v>
      </c>
      <c r="B31" s="42" t="s">
        <v>32</v>
      </c>
      <c r="C31" s="41">
        <v>54937.509899999997</v>
      </c>
      <c r="D31" s="41">
        <v>8.9999999999999998E-4</v>
      </c>
      <c r="E31" s="8">
        <f t="shared" si="0"/>
        <v>10303.375787467774</v>
      </c>
      <c r="F31">
        <f t="shared" si="1"/>
        <v>10303.5</v>
      </c>
      <c r="G31">
        <f t="shared" si="4"/>
        <v>-4.4324000002234243E-2</v>
      </c>
      <c r="J31">
        <f>+G31</f>
        <v>-4.4324000002234243E-2</v>
      </c>
      <c r="O31">
        <f t="shared" ca="1" si="2"/>
        <v>-4.3923688539301384E-2</v>
      </c>
      <c r="Q31" s="1">
        <f t="shared" si="3"/>
        <v>39919.009899999997</v>
      </c>
      <c r="R31" s="1"/>
      <c r="S31">
        <f t="shared" ca="1" si="5"/>
        <v>1.6024926735544585E-7</v>
      </c>
      <c r="V31" s="44"/>
    </row>
    <row r="32" spans="1:22">
      <c r="A32" s="9" t="s">
        <v>46</v>
      </c>
      <c r="B32" s="38" t="s">
        <v>33</v>
      </c>
      <c r="C32" s="7">
        <v>55304.335630000001</v>
      </c>
      <c r="D32" s="7">
        <v>1E-4</v>
      </c>
      <c r="E32" s="8">
        <f t="shared" si="0"/>
        <v>11331.359561708341</v>
      </c>
      <c r="F32">
        <f t="shared" si="1"/>
        <v>11331.5</v>
      </c>
      <c r="G32">
        <f t="shared" si="4"/>
        <v>-5.0113999997847714E-2</v>
      </c>
      <c r="K32">
        <f>+G32</f>
        <v>-5.0113999997847714E-2</v>
      </c>
      <c r="O32">
        <f t="shared" ca="1" si="2"/>
        <v>-4.9194388484747678E-2</v>
      </c>
      <c r="Q32" s="1">
        <f t="shared" si="3"/>
        <v>40285.835630000001</v>
      </c>
      <c r="R32" s="1"/>
      <c r="S32">
        <f t="shared" ca="1" si="5"/>
        <v>8.4568533502613665E-7</v>
      </c>
      <c r="V32" s="44"/>
    </row>
    <row r="33" spans="1:22">
      <c r="A33" s="41" t="s">
        <v>48</v>
      </c>
      <c r="B33" s="42" t="s">
        <v>32</v>
      </c>
      <c r="C33" s="41">
        <v>55310.405700000003</v>
      </c>
      <c r="D33" s="41">
        <v>4.7999999999999996E-3</v>
      </c>
      <c r="E33" s="8">
        <f t="shared" si="0"/>
        <v>11348.37018271496</v>
      </c>
      <c r="F33">
        <f t="shared" si="1"/>
        <v>11348.5</v>
      </c>
      <c r="G33">
        <f t="shared" si="4"/>
        <v>-4.6323999995365739E-2</v>
      </c>
      <c r="J33">
        <f>+G33</f>
        <v>-4.6323999995365739E-2</v>
      </c>
      <c r="O33">
        <f t="shared" ca="1" si="2"/>
        <v>-4.9281549865168486E-2</v>
      </c>
      <c r="Q33" s="1">
        <f t="shared" si="3"/>
        <v>40291.905700000003</v>
      </c>
      <c r="R33" s="1"/>
      <c r="S33">
        <f t="shared" ca="1" si="5"/>
        <v>8.747101232370249E-6</v>
      </c>
      <c r="V33" s="44"/>
    </row>
    <row r="34" spans="1:22">
      <c r="A34" s="41" t="s">
        <v>48</v>
      </c>
      <c r="B34" s="42" t="s">
        <v>32</v>
      </c>
      <c r="C34" s="41">
        <v>55310.5815</v>
      </c>
      <c r="D34" s="41">
        <v>1.1000000000000001E-3</v>
      </c>
      <c r="E34" s="8">
        <f t="shared" si="0"/>
        <v>11348.862840488744</v>
      </c>
      <c r="F34">
        <f t="shared" si="1"/>
        <v>11349</v>
      </c>
      <c r="G34">
        <f t="shared" si="4"/>
        <v>-4.894399999466259E-2</v>
      </c>
      <c r="J34">
        <f>+G34</f>
        <v>-4.894399999466259E-2</v>
      </c>
      <c r="O34">
        <f t="shared" ca="1" si="2"/>
        <v>-4.9284113435180861E-2</v>
      </c>
      <c r="Q34" s="1">
        <f t="shared" si="3"/>
        <v>40292.0815</v>
      </c>
      <c r="R34" s="1"/>
      <c r="S34">
        <f t="shared" ca="1" si="5"/>
        <v>1.1567715242117525E-7</v>
      </c>
      <c r="V34" s="44"/>
    </row>
    <row r="35" spans="1:22">
      <c r="A35" s="9" t="s">
        <v>46</v>
      </c>
      <c r="B35" s="38" t="s">
        <v>33</v>
      </c>
      <c r="C35" s="7">
        <v>55315.400379999999</v>
      </c>
      <c r="D35" s="7">
        <v>1.6000000000000001E-3</v>
      </c>
      <c r="E35" s="8">
        <f t="shared" si="0"/>
        <v>11362.367156148421</v>
      </c>
      <c r="F35">
        <f t="shared" si="1"/>
        <v>11362.5</v>
      </c>
      <c r="G35">
        <f t="shared" si="4"/>
        <v>-4.7403999997186475E-2</v>
      </c>
      <c r="K35">
        <f>+G35</f>
        <v>-4.7403999997186475E-2</v>
      </c>
      <c r="O35">
        <f t="shared" ca="1" si="2"/>
        <v>-4.9353329825515033E-2</v>
      </c>
      <c r="Q35" s="1">
        <f t="shared" si="3"/>
        <v>40296.900379999999</v>
      </c>
      <c r="R35" s="1"/>
      <c r="S35">
        <f t="shared" ca="1" si="5"/>
        <v>3.7998867796114462E-6</v>
      </c>
      <c r="V35" s="44"/>
    </row>
    <row r="36" spans="1:22">
      <c r="A36" s="9" t="s">
        <v>46</v>
      </c>
      <c r="B36" s="38" t="s">
        <v>33</v>
      </c>
      <c r="C36" s="7">
        <v>55315.401080000003</v>
      </c>
      <c r="D36" s="7">
        <v>1.6000000000000001E-3</v>
      </c>
      <c r="E36" s="8">
        <f t="shared" si="0"/>
        <v>11362.369117811922</v>
      </c>
      <c r="F36">
        <f t="shared" si="1"/>
        <v>11362.5</v>
      </c>
      <c r="G36">
        <f t="shared" si="4"/>
        <v>-4.6703999993042089E-2</v>
      </c>
      <c r="K36">
        <f>+G36</f>
        <v>-4.6703999993042089E-2</v>
      </c>
      <c r="O36">
        <f t="shared" ca="1" si="2"/>
        <v>-4.9353329825515033E-2</v>
      </c>
      <c r="Q36" s="1">
        <f t="shared" si="3"/>
        <v>40296.901080000003</v>
      </c>
      <c r="R36" s="1"/>
      <c r="S36">
        <f t="shared" ca="1" si="5"/>
        <v>7.0189485612311156E-6</v>
      </c>
      <c r="V36" s="44"/>
    </row>
    <row r="37" spans="1:22">
      <c r="A37" s="45" t="s">
        <v>51</v>
      </c>
      <c r="B37" s="46" t="s">
        <v>32</v>
      </c>
      <c r="C37" s="47">
        <v>55651.358699999997</v>
      </c>
      <c r="D37" s="47">
        <v>1E-3</v>
      </c>
      <c r="E37" s="8">
        <f t="shared" si="0"/>
        <v>12303.848828606659</v>
      </c>
      <c r="F37">
        <f t="shared" si="1"/>
        <v>12304</v>
      </c>
      <c r="G37">
        <f t="shared" si="4"/>
        <v>-5.3943999999319203E-2</v>
      </c>
      <c r="K37">
        <f>+G37</f>
        <v>-5.3943999999319203E-2</v>
      </c>
      <c r="O37">
        <f t="shared" ca="1" si="2"/>
        <v>-5.4180532158820176E-2</v>
      </c>
      <c r="Q37" s="1">
        <f t="shared" si="3"/>
        <v>40632.858699999997</v>
      </c>
      <c r="R37" s="1"/>
      <c r="S37">
        <f t="shared" ca="1" si="5"/>
        <v>5.5947462478193522E-8</v>
      </c>
      <c r="V37" s="44"/>
    </row>
    <row r="38" spans="1:22">
      <c r="A38" s="41" t="s">
        <v>49</v>
      </c>
      <c r="B38" s="42" t="s">
        <v>32</v>
      </c>
      <c r="C38" s="41">
        <v>55662.421300000002</v>
      </c>
      <c r="D38" s="41">
        <v>8.0000000000000004E-4</v>
      </c>
      <c r="E38" s="8">
        <f t="shared" si="0"/>
        <v>12334.850397937464</v>
      </c>
      <c r="F38">
        <f t="shared" si="1"/>
        <v>12335</v>
      </c>
      <c r="G38">
        <f t="shared" si="4"/>
        <v>-5.3383999998914078E-2</v>
      </c>
      <c r="J38">
        <f>+G38</f>
        <v>-5.3383999998914078E-2</v>
      </c>
      <c r="O38">
        <f t="shared" ca="1" si="2"/>
        <v>-5.433947349958753E-2</v>
      </c>
      <c r="Q38" s="1">
        <f t="shared" si="3"/>
        <v>40643.921300000002</v>
      </c>
      <c r="R38" s="1"/>
      <c r="S38">
        <f t="shared" ca="1" si="5"/>
        <v>9.1292961048918188E-7</v>
      </c>
      <c r="V38" s="44"/>
    </row>
    <row r="39" spans="1:22">
      <c r="A39" s="41" t="s">
        <v>49</v>
      </c>
      <c r="B39" s="42" t="s">
        <v>32</v>
      </c>
      <c r="C39" s="41">
        <v>55662.600299999998</v>
      </c>
      <c r="D39" s="41">
        <v>1.6999999999999999E-3</v>
      </c>
      <c r="E39" s="8">
        <f t="shared" si="0"/>
        <v>12335.352023315776</v>
      </c>
      <c r="F39">
        <f t="shared" si="1"/>
        <v>12335.5</v>
      </c>
      <c r="G39">
        <f t="shared" si="4"/>
        <v>-5.2803999999014195E-2</v>
      </c>
      <c r="J39">
        <f>+G39</f>
        <v>-5.2803999999014195E-2</v>
      </c>
      <c r="O39">
        <f t="shared" ca="1" si="2"/>
        <v>-5.4342037069599898E-2</v>
      </c>
      <c r="Q39" s="1">
        <f t="shared" si="3"/>
        <v>40644.100299999998</v>
      </c>
      <c r="R39" s="1"/>
      <c r="S39">
        <f t="shared" ca="1" si="5"/>
        <v>2.3655580304958508E-6</v>
      </c>
      <c r="V39" s="44"/>
    </row>
    <row r="40" spans="1:22">
      <c r="A40" s="45" t="s">
        <v>51</v>
      </c>
      <c r="B40" s="46" t="s">
        <v>33</v>
      </c>
      <c r="C40" s="47">
        <v>55674.375379999998</v>
      </c>
      <c r="D40" s="47">
        <v>2.0000000000000001E-4</v>
      </c>
      <c r="E40" s="8">
        <f t="shared" si="0"/>
        <v>12368.350229794869</v>
      </c>
      <c r="F40">
        <f t="shared" si="1"/>
        <v>12368.5</v>
      </c>
      <c r="G40">
        <f t="shared" si="4"/>
        <v>-5.344399999739835E-2</v>
      </c>
      <c r="K40">
        <f>+G40</f>
        <v>-5.344399999739835E-2</v>
      </c>
      <c r="O40">
        <f t="shared" ca="1" si="2"/>
        <v>-5.4511232690416751E-2</v>
      </c>
      <c r="Q40" s="1">
        <f t="shared" si="3"/>
        <v>40655.875379999998</v>
      </c>
      <c r="R40" s="1"/>
      <c r="S40">
        <f t="shared" ca="1" si="5"/>
        <v>1.1389856210473083E-6</v>
      </c>
      <c r="V40" s="44"/>
    </row>
    <row r="41" spans="1:22">
      <c r="A41" s="45" t="s">
        <v>51</v>
      </c>
      <c r="B41" s="46" t="s">
        <v>32</v>
      </c>
      <c r="C41" s="47">
        <v>55674.552049999998</v>
      </c>
      <c r="D41" s="47">
        <v>1.6000000000000001E-3</v>
      </c>
      <c r="E41" s="8">
        <f t="shared" si="0"/>
        <v>12368.845325636143</v>
      </c>
      <c r="F41">
        <f t="shared" si="1"/>
        <v>12369</v>
      </c>
      <c r="G41">
        <f t="shared" si="4"/>
        <v>-5.5194000000483356E-2</v>
      </c>
      <c r="K41">
        <f>+G41</f>
        <v>-5.5194000000483356E-2</v>
      </c>
      <c r="O41">
        <f t="shared" ca="1" si="2"/>
        <v>-5.4513796260429133E-2</v>
      </c>
      <c r="Q41" s="1">
        <f t="shared" si="3"/>
        <v>40656.052049999998</v>
      </c>
      <c r="R41" s="1"/>
      <c r="S41">
        <f t="shared" ca="1" si="5"/>
        <v>4.6267712798375367E-7</v>
      </c>
      <c r="V41" s="44"/>
    </row>
    <row r="42" spans="1:22">
      <c r="A42" s="41" t="s">
        <v>49</v>
      </c>
      <c r="B42" s="42" t="s">
        <v>32</v>
      </c>
      <c r="C42" s="41">
        <v>55675.446799999998</v>
      </c>
      <c r="D42" s="41">
        <v>1.4E-3</v>
      </c>
      <c r="E42" s="8">
        <f t="shared" si="0"/>
        <v>12371.352751933642</v>
      </c>
      <c r="F42">
        <f t="shared" si="1"/>
        <v>12371.5</v>
      </c>
      <c r="G42">
        <f t="shared" si="4"/>
        <v>-5.254399999830639E-2</v>
      </c>
      <c r="J42">
        <f>+G42</f>
        <v>-5.254399999830639E-2</v>
      </c>
      <c r="O42">
        <f t="shared" ca="1" si="2"/>
        <v>-5.4526614110491013E-2</v>
      </c>
      <c r="Q42" s="1">
        <f t="shared" si="3"/>
        <v>40656.946799999998</v>
      </c>
      <c r="R42" s="1"/>
      <c r="S42">
        <f t="shared" ca="1" si="5"/>
        <v>3.9307587178336225E-6</v>
      </c>
      <c r="V42" s="44"/>
    </row>
    <row r="43" spans="1:22">
      <c r="A43" s="45" t="s">
        <v>51</v>
      </c>
      <c r="B43" s="46" t="s">
        <v>32</v>
      </c>
      <c r="C43" s="47">
        <v>55687.398459999997</v>
      </c>
      <c r="D43" s="47">
        <v>2.9999999999999997E-4</v>
      </c>
      <c r="E43" s="8">
        <f t="shared" si="0"/>
        <v>12404.845802040129</v>
      </c>
      <c r="F43">
        <f t="shared" si="1"/>
        <v>12405</v>
      </c>
      <c r="G43">
        <f t="shared" si="4"/>
        <v>-5.5024000001139939E-2</v>
      </c>
      <c r="K43">
        <f>+G43</f>
        <v>-5.5024000001139939E-2</v>
      </c>
      <c r="O43">
        <f t="shared" ca="1" si="2"/>
        <v>-5.4698373301320248E-2</v>
      </c>
      <c r="Q43" s="1">
        <f t="shared" si="3"/>
        <v>40668.898459999997</v>
      </c>
      <c r="R43" s="1"/>
      <c r="S43">
        <f t="shared" ca="1" si="5"/>
        <v>1.0603274763546301E-7</v>
      </c>
      <c r="V43" s="44"/>
    </row>
    <row r="44" spans="1:22">
      <c r="A44" s="45" t="s">
        <v>51</v>
      </c>
      <c r="B44" s="46" t="s">
        <v>32</v>
      </c>
      <c r="C44" s="47">
        <v>55959.663079999998</v>
      </c>
      <c r="D44" s="47">
        <v>2.0000000000000001E-4</v>
      </c>
      <c r="E44" s="8">
        <f t="shared" si="0"/>
        <v>13167.833751821549</v>
      </c>
      <c r="F44">
        <f t="shared" si="1"/>
        <v>13168</v>
      </c>
      <c r="G44">
        <f t="shared" si="4"/>
        <v>-5.9324000001652166E-2</v>
      </c>
      <c r="K44">
        <f>+G44</f>
        <v>-5.9324000001652166E-2</v>
      </c>
      <c r="O44">
        <f t="shared" ca="1" si="2"/>
        <v>-5.8610381140206953E-2</v>
      </c>
      <c r="Q44" s="1">
        <f t="shared" si="3"/>
        <v>40941.163079999998</v>
      </c>
      <c r="R44" s="1"/>
      <c r="S44">
        <f t="shared" ca="1" si="5"/>
        <v>5.0925187941036202E-7</v>
      </c>
      <c r="V44" s="44"/>
    </row>
    <row r="45" spans="1:22">
      <c r="A45" s="45" t="s">
        <v>52</v>
      </c>
      <c r="B45" s="46" t="s">
        <v>33</v>
      </c>
      <c r="C45" s="47">
        <v>56008.372199999998</v>
      </c>
      <c r="D45" s="47">
        <v>1.8E-3</v>
      </c>
      <c r="E45" s="8">
        <f t="shared" si="0"/>
        <v>13304.335040914699</v>
      </c>
      <c r="F45">
        <f t="shared" si="1"/>
        <v>13304.5</v>
      </c>
      <c r="G45">
        <f t="shared" si="4"/>
        <v>-5.8863999998720828E-2</v>
      </c>
      <c r="J45">
        <f>+G45</f>
        <v>-5.8863999998720828E-2</v>
      </c>
      <c r="O45">
        <f t="shared" ca="1" si="2"/>
        <v>-5.9310235753585759E-2</v>
      </c>
      <c r="Q45" s="1">
        <f t="shared" si="3"/>
        <v>40989.872199999998</v>
      </c>
      <c r="R45" s="1"/>
      <c r="S45">
        <f t="shared" ca="1" si="5"/>
        <v>1.991263489198745E-7</v>
      </c>
      <c r="V45" s="44"/>
    </row>
    <row r="46" spans="1:22">
      <c r="A46" s="45" t="s">
        <v>52</v>
      </c>
      <c r="B46" s="46" t="s">
        <v>32</v>
      </c>
      <c r="C46" s="47">
        <v>56008.549700000003</v>
      </c>
      <c r="D46" s="47">
        <v>4.0000000000000002E-4</v>
      </c>
      <c r="E46" s="8">
        <f t="shared" si="0"/>
        <v>13304.832462728411</v>
      </c>
      <c r="F46">
        <f t="shared" si="1"/>
        <v>13305</v>
      </c>
      <c r="G46">
        <f t="shared" si="4"/>
        <v>-5.9783999997307546E-2</v>
      </c>
      <c r="J46">
        <f>+G46</f>
        <v>-5.9783999997307546E-2</v>
      </c>
      <c r="O46">
        <f t="shared" ca="1" si="2"/>
        <v>-5.9312799323598141E-2</v>
      </c>
      <c r="Q46" s="1">
        <f t="shared" si="3"/>
        <v>40990.049700000003</v>
      </c>
      <c r="R46" s="1"/>
      <c r="S46">
        <f t="shared" ca="1" si="5"/>
        <v>2.2203007490419784E-7</v>
      </c>
      <c r="V46" s="44"/>
    </row>
    <row r="47" spans="1:22">
      <c r="A47" s="45" t="s">
        <v>51</v>
      </c>
      <c r="B47" s="46" t="s">
        <v>33</v>
      </c>
      <c r="C47" s="47">
        <v>56074.38695</v>
      </c>
      <c r="D47" s="47">
        <v>4.0000000000000002E-4</v>
      </c>
      <c r="E47" s="8">
        <f t="shared" si="0"/>
        <v>13489.333219370035</v>
      </c>
      <c r="F47">
        <f t="shared" si="1"/>
        <v>13489.5</v>
      </c>
      <c r="G47">
        <f t="shared" si="4"/>
        <v>-5.9513999993214384E-2</v>
      </c>
      <c r="K47">
        <f t="shared" ref="K47:K52" si="6">+G47</f>
        <v>-5.9513999993214384E-2</v>
      </c>
      <c r="O47">
        <f t="shared" ca="1" si="2"/>
        <v>-6.0258756658165109E-2</v>
      </c>
      <c r="Q47" s="1">
        <f t="shared" si="3"/>
        <v>41055.88695</v>
      </c>
      <c r="R47" s="1"/>
      <c r="S47">
        <f t="shared" ca="1" si="5"/>
        <v>5.5466248998852741E-7</v>
      </c>
      <c r="V47" s="44"/>
    </row>
    <row r="48" spans="1:22">
      <c r="A48" s="45" t="s">
        <v>51</v>
      </c>
      <c r="B48" s="46" t="s">
        <v>32</v>
      </c>
      <c r="C48" s="47">
        <v>56400.346160000001</v>
      </c>
      <c r="D48" s="47">
        <v>4.0000000000000002E-4</v>
      </c>
      <c r="E48" s="8">
        <f t="shared" si="0"/>
        <v>14402.79362179129</v>
      </c>
      <c r="F48">
        <f t="shared" si="1"/>
        <v>14403</v>
      </c>
      <c r="G48">
        <f t="shared" si="4"/>
        <v>-7.3643999996420462E-2</v>
      </c>
      <c r="K48">
        <f t="shared" si="6"/>
        <v>-7.3643999996420462E-2</v>
      </c>
      <c r="O48">
        <f t="shared" ca="1" si="2"/>
        <v>-6.4942399070777146E-2</v>
      </c>
      <c r="Q48" s="1">
        <f t="shared" si="3"/>
        <v>41381.846160000001</v>
      </c>
      <c r="R48" s="1"/>
      <c r="S48">
        <f t="shared" ca="1" si="5"/>
        <v>7.5717858669156605E-5</v>
      </c>
      <c r="V48" s="44"/>
    </row>
    <row r="49" spans="1:22">
      <c r="A49" s="47" t="s">
        <v>55</v>
      </c>
      <c r="B49" s="46"/>
      <c r="C49" s="47">
        <v>56400.35338</v>
      </c>
      <c r="D49" s="47">
        <v>4.4999999999999999E-4</v>
      </c>
      <c r="E49" s="8">
        <f t="shared" si="0"/>
        <v>14402.813854949007</v>
      </c>
      <c r="F49">
        <f t="shared" si="1"/>
        <v>14403</v>
      </c>
      <c r="G49">
        <f t="shared" si="4"/>
        <v>-6.6423999996914063E-2</v>
      </c>
      <c r="K49">
        <f t="shared" si="6"/>
        <v>-6.6423999996914063E-2</v>
      </c>
      <c r="O49">
        <f t="shared" ca="1" si="2"/>
        <v>-6.4942399070777146E-2</v>
      </c>
      <c r="Q49" s="1">
        <f t="shared" si="3"/>
        <v>41381.85338</v>
      </c>
      <c r="R49" s="1"/>
      <c r="S49">
        <f t="shared" ca="1" si="5"/>
        <v>2.1951413043297693E-6</v>
      </c>
      <c r="V49" s="44"/>
    </row>
    <row r="50" spans="1:22">
      <c r="A50" s="45" t="s">
        <v>51</v>
      </c>
      <c r="B50" s="46" t="s">
        <v>33</v>
      </c>
      <c r="C50" s="47">
        <v>56428.361900000004</v>
      </c>
      <c r="D50" s="47">
        <v>2.0000000000000001E-4</v>
      </c>
      <c r="E50" s="8">
        <f t="shared" si="0"/>
        <v>14481.304270821674</v>
      </c>
      <c r="F50">
        <f t="shared" si="1"/>
        <v>14481.5</v>
      </c>
      <c r="G50">
        <f t="shared" si="4"/>
        <v>-6.9843999990553129E-2</v>
      </c>
      <c r="K50">
        <f t="shared" si="6"/>
        <v>-6.9843999990553129E-2</v>
      </c>
      <c r="O50">
        <f t="shared" ca="1" si="2"/>
        <v>-6.5344879562720282E-2</v>
      </c>
      <c r="Q50" s="1">
        <f t="shared" si="3"/>
        <v>41409.861900000004</v>
      </c>
      <c r="R50" s="1"/>
      <c r="S50">
        <f t="shared" ca="1" si="5"/>
        <v>2.0242084624142827E-5</v>
      </c>
      <c r="V50" s="44"/>
    </row>
    <row r="51" spans="1:22">
      <c r="A51" s="47" t="s">
        <v>55</v>
      </c>
      <c r="B51" s="46"/>
      <c r="C51" s="47">
        <v>56428.367440000002</v>
      </c>
      <c r="D51" s="47">
        <v>2.1000000000000001E-4</v>
      </c>
      <c r="E51" s="8">
        <f t="shared" ref="E51:E64" si="7">+(C51-C$7)/C$8</f>
        <v>14481.31979598701</v>
      </c>
      <c r="F51">
        <f t="shared" ref="F51:F63" si="8">ROUND(2*E51,0)/2</f>
        <v>14481.5</v>
      </c>
      <c r="G51">
        <f>C51-($C$7+$C$8*$F51)</f>
        <v>-6.4303999992262106E-2</v>
      </c>
      <c r="K51">
        <f t="shared" si="6"/>
        <v>-6.4303999992262106E-2</v>
      </c>
      <c r="O51">
        <f t="shared" ref="O51:O64" ca="1" si="9">+C$11+C$12*$F51</f>
        <v>-6.5344879562720282E-2</v>
      </c>
      <c r="Q51" s="1">
        <f t="shared" ref="Q51:Q64" si="10">+C51-15018.5</f>
        <v>41409.867440000002</v>
      </c>
      <c r="R51" s="1"/>
      <c r="S51">
        <f ca="1">(O51-G51)^2</f>
        <v>1.0834302801971954E-6</v>
      </c>
      <c r="V51" s="44"/>
    </row>
    <row r="52" spans="1:22">
      <c r="A52" s="47" t="s">
        <v>56</v>
      </c>
      <c r="B52" s="46" t="s">
        <v>33</v>
      </c>
      <c r="C52" s="48">
        <v>56723.468699999998</v>
      </c>
      <c r="D52" s="47">
        <v>4.0000000000000002E-4</v>
      </c>
      <c r="E52" s="8">
        <f t="shared" si="7"/>
        <v>15308.304607106829</v>
      </c>
      <c r="F52">
        <f t="shared" si="8"/>
        <v>15308.5</v>
      </c>
      <c r="G52">
        <f>C52-($C$7+$C$8*$F52)</f>
        <v>-6.9724000000860542E-2</v>
      </c>
      <c r="K52">
        <f t="shared" si="6"/>
        <v>-6.9724000000860542E-2</v>
      </c>
      <c r="O52">
        <f t="shared" ca="1" si="9"/>
        <v>-6.9585024363191195E-2</v>
      </c>
      <c r="Q52" s="1">
        <f t="shared" si="10"/>
        <v>41704.968699999998</v>
      </c>
      <c r="R52" s="1"/>
      <c r="S52">
        <f ca="1">(O52-G52)^2</f>
        <v>1.9314227865601732E-8</v>
      </c>
      <c r="V52" s="44"/>
    </row>
    <row r="53" spans="1:22">
      <c r="A53" s="49" t="s">
        <v>54</v>
      </c>
      <c r="B53" s="46"/>
      <c r="C53" s="49">
        <v>56746.4202</v>
      </c>
      <c r="D53" s="49">
        <v>1E-4</v>
      </c>
      <c r="E53" s="8">
        <f t="shared" si="7"/>
        <v>15372.623349400301</v>
      </c>
      <c r="F53">
        <f t="shared" si="8"/>
        <v>15372.5</v>
      </c>
      <c r="O53">
        <f t="shared" ca="1" si="9"/>
        <v>-6.9913161324775402E-2</v>
      </c>
      <c r="Q53" s="1">
        <f t="shared" si="10"/>
        <v>41727.9202</v>
      </c>
      <c r="R53" s="1"/>
      <c r="S53">
        <f ca="1">(O53-V53)^2</f>
        <v>1.297985380178554E-2</v>
      </c>
      <c r="V53" s="44">
        <f>C53-($C$7+$C$8*$F53)</f>
        <v>4.4016000007104594E-2</v>
      </c>
    </row>
    <row r="54" spans="1:22">
      <c r="A54" s="47" t="s">
        <v>56</v>
      </c>
      <c r="B54" s="46" t="s">
        <v>32</v>
      </c>
      <c r="C54" s="48">
        <v>56786.448750000003</v>
      </c>
      <c r="D54" s="47">
        <v>2.0000000000000001E-4</v>
      </c>
      <c r="E54" s="8">
        <f t="shared" si="7"/>
        <v>15484.798413854967</v>
      </c>
      <c r="F54">
        <f t="shared" si="8"/>
        <v>15485</v>
      </c>
      <c r="G54">
        <f t="shared" ref="G54:G64" si="11">C54-($C$7+$C$8*$F54)</f>
        <v>-7.1933999992324971E-2</v>
      </c>
      <c r="K54">
        <f>+G54</f>
        <v>-7.1933999992324971E-2</v>
      </c>
      <c r="O54">
        <f t="shared" ca="1" si="9"/>
        <v>-7.0489964577560127E-2</v>
      </c>
      <c r="Q54" s="1">
        <f t="shared" si="10"/>
        <v>41767.948750000003</v>
      </c>
      <c r="R54" s="1"/>
      <c r="S54">
        <f t="shared" ref="S54:S64" ca="1" si="12">(O54-G54)^2</f>
        <v>2.0852382790950744E-6</v>
      </c>
      <c r="V54" s="44"/>
    </row>
    <row r="55" spans="1:22">
      <c r="A55" s="7" t="s">
        <v>58</v>
      </c>
      <c r="B55" s="38"/>
      <c r="C55" s="7">
        <v>57100.466</v>
      </c>
      <c r="D55" s="7">
        <v>1E-3</v>
      </c>
      <c r="E55" s="8">
        <f t="shared" si="7"/>
        <v>16364.79294922095</v>
      </c>
      <c r="F55">
        <f t="shared" si="8"/>
        <v>16365</v>
      </c>
      <c r="G55">
        <f t="shared" si="11"/>
        <v>-7.3883999997633509E-2</v>
      </c>
      <c r="J55">
        <f>+G55</f>
        <v>-7.3883999997633509E-2</v>
      </c>
      <c r="O55">
        <f t="shared" ca="1" si="9"/>
        <v>-7.5001847799342963E-2</v>
      </c>
      <c r="Q55" s="1">
        <f t="shared" si="10"/>
        <v>42081.966</v>
      </c>
      <c r="R55" s="1"/>
      <c r="S55">
        <f t="shared" ca="1" si="12"/>
        <v>1.2495837077866587E-6</v>
      </c>
      <c r="V55" s="44"/>
    </row>
    <row r="56" spans="1:22">
      <c r="A56" s="7" t="s">
        <v>58</v>
      </c>
      <c r="B56" s="38"/>
      <c r="C56" s="7">
        <v>57100.641300000003</v>
      </c>
      <c r="D56" s="7">
        <v>1.8E-3</v>
      </c>
      <c r="E56" s="8">
        <f t="shared" si="7"/>
        <v>16365.284205806542</v>
      </c>
      <c r="F56">
        <f t="shared" si="8"/>
        <v>16365.5</v>
      </c>
      <c r="G56">
        <f t="shared" si="11"/>
        <v>-7.7003999991575256E-2</v>
      </c>
      <c r="J56">
        <f>+G56</f>
        <v>-7.7003999991575256E-2</v>
      </c>
      <c r="O56">
        <f t="shared" ca="1" si="9"/>
        <v>-7.5004411369355317E-2</v>
      </c>
      <c r="Q56" s="1">
        <f t="shared" si="10"/>
        <v>42082.141300000003</v>
      </c>
      <c r="R56" s="1"/>
      <c r="S56">
        <f t="shared" ca="1" si="12"/>
        <v>3.9983546581114333E-6</v>
      </c>
      <c r="V56" s="44"/>
    </row>
    <row r="57" spans="1:22">
      <c r="A57" s="64" t="s">
        <v>184</v>
      </c>
      <c r="B57" s="65" t="s">
        <v>33</v>
      </c>
      <c r="C57" s="66">
        <v>57117.415280000001</v>
      </c>
      <c r="D57" s="66">
        <v>6.9999999999999999E-4</v>
      </c>
      <c r="E57" s="8">
        <f t="shared" si="7"/>
        <v>16412.291211747575</v>
      </c>
      <c r="F57">
        <f t="shared" si="8"/>
        <v>16412.5</v>
      </c>
      <c r="G57">
        <f t="shared" si="11"/>
        <v>-7.4503999996522907E-2</v>
      </c>
      <c r="K57">
        <f t="shared" ref="K57:K64" si="13">+G57</f>
        <v>-7.4503999996522907E-2</v>
      </c>
      <c r="O57">
        <f t="shared" ca="1" si="9"/>
        <v>-7.5245386950518717E-2</v>
      </c>
      <c r="Q57" s="1">
        <f t="shared" si="10"/>
        <v>42098.915280000001</v>
      </c>
      <c r="R57" s="1"/>
      <c r="S57">
        <f t="shared" ca="1" si="12"/>
        <v>5.4965461555518469E-7</v>
      </c>
    </row>
    <row r="58" spans="1:22">
      <c r="A58" s="64" t="s">
        <v>184</v>
      </c>
      <c r="B58" s="65" t="s">
        <v>32</v>
      </c>
      <c r="C58" s="66">
        <v>57125.44212</v>
      </c>
      <c r="D58" s="66">
        <v>2.9999999999999997E-4</v>
      </c>
      <c r="E58" s="8">
        <f t="shared" si="7"/>
        <v>16434.785438852155</v>
      </c>
      <c r="F58">
        <f t="shared" si="8"/>
        <v>16435</v>
      </c>
      <c r="G58">
        <f t="shared" si="11"/>
        <v>-7.6563999995414633E-2</v>
      </c>
      <c r="K58">
        <f t="shared" si="13"/>
        <v>-7.6563999995414633E-2</v>
      </c>
      <c r="O58">
        <f t="shared" ca="1" si="9"/>
        <v>-7.5360747601075667E-2</v>
      </c>
      <c r="Q58" s="1">
        <f t="shared" si="10"/>
        <v>42106.94212</v>
      </c>
      <c r="R58" s="1"/>
      <c r="S58">
        <f t="shared" ca="1" si="12"/>
        <v>1.4478163244824548E-6</v>
      </c>
    </row>
    <row r="59" spans="1:22">
      <c r="A59" s="67" t="s">
        <v>1</v>
      </c>
      <c r="B59" s="68" t="s">
        <v>32</v>
      </c>
      <c r="C59" s="69">
        <v>57465.501700000001</v>
      </c>
      <c r="D59" s="69">
        <v>4.8999999999999998E-3</v>
      </c>
      <c r="E59" s="8">
        <f t="shared" si="7"/>
        <v>17387.760385607005</v>
      </c>
      <c r="F59">
        <f t="shared" si="8"/>
        <v>17388</v>
      </c>
      <c r="G59">
        <f t="shared" si="11"/>
        <v>-8.5503999995125923E-2</v>
      </c>
      <c r="K59">
        <f t="shared" si="13"/>
        <v>-8.5503999995125923E-2</v>
      </c>
      <c r="O59">
        <f t="shared" ca="1" si="9"/>
        <v>-8.0246912044665497E-2</v>
      </c>
      <c r="Q59" s="1">
        <f t="shared" si="10"/>
        <v>42447.001700000001</v>
      </c>
      <c r="R59" s="1"/>
      <c r="S59">
        <f t="shared" ca="1" si="12"/>
        <v>2.7636973718876204E-5</v>
      </c>
    </row>
    <row r="60" spans="1:22">
      <c r="A60" s="64" t="s">
        <v>184</v>
      </c>
      <c r="B60" s="65" t="s">
        <v>32</v>
      </c>
      <c r="C60" s="66">
        <v>57483.349399999999</v>
      </c>
      <c r="D60" s="66">
        <v>8.0000000000000004E-4</v>
      </c>
      <c r="E60" s="8">
        <f t="shared" si="7"/>
        <v>17437.776359152569</v>
      </c>
      <c r="F60">
        <f t="shared" si="8"/>
        <v>17438</v>
      </c>
      <c r="G60">
        <f t="shared" si="11"/>
        <v>-7.980400000087684E-2</v>
      </c>
      <c r="K60">
        <f t="shared" si="13"/>
        <v>-7.980400000087684E-2</v>
      </c>
      <c r="O60">
        <f t="shared" ca="1" si="9"/>
        <v>-8.0503269045903131E-2</v>
      </c>
      <c r="Q60" s="1">
        <f t="shared" si="10"/>
        <v>42464.849399999999</v>
      </c>
      <c r="R60" s="1"/>
      <c r="S60">
        <f t="shared" ca="1" si="12"/>
        <v>4.8897719733198045E-7</v>
      </c>
    </row>
    <row r="61" spans="1:22">
      <c r="A61" s="66" t="s">
        <v>0</v>
      </c>
      <c r="B61" s="78" t="s">
        <v>32</v>
      </c>
      <c r="C61" s="71">
        <v>57852.316200000001</v>
      </c>
      <c r="D61" s="71">
        <v>4.0000000000000002E-4</v>
      </c>
      <c r="E61" s="8">
        <f t="shared" si="7"/>
        <v>18471.76021746442</v>
      </c>
      <c r="F61">
        <f t="shared" si="8"/>
        <v>18472</v>
      </c>
      <c r="G61">
        <f t="shared" si="11"/>
        <v>-8.5563999993610196E-2</v>
      </c>
      <c r="K61">
        <f t="shared" si="13"/>
        <v>-8.5563999993610196E-2</v>
      </c>
      <c r="O61">
        <f t="shared" ca="1" si="9"/>
        <v>-8.5804731831497949E-2</v>
      </c>
      <c r="Q61" s="1">
        <f t="shared" si="10"/>
        <v>42833.816200000001</v>
      </c>
      <c r="R61" s="1"/>
      <c r="S61">
        <f t="shared" ca="1" si="12"/>
        <v>5.795181777281549E-8</v>
      </c>
    </row>
    <row r="62" spans="1:22">
      <c r="A62" s="66" t="s">
        <v>0</v>
      </c>
      <c r="B62" s="78" t="s">
        <v>32</v>
      </c>
      <c r="C62" s="71">
        <v>57852.496599999999</v>
      </c>
      <c r="D62" s="71">
        <v>1.5E-3</v>
      </c>
      <c r="E62" s="8">
        <f t="shared" si="7"/>
        <v>18472.265766169716</v>
      </c>
      <c r="F62">
        <f t="shared" si="8"/>
        <v>18472.5</v>
      </c>
      <c r="G62">
        <f t="shared" si="11"/>
        <v>-8.3583999999973457E-2</v>
      </c>
      <c r="K62">
        <f t="shared" si="13"/>
        <v>-8.3583999999973457E-2</v>
      </c>
      <c r="O62">
        <f t="shared" ca="1" si="9"/>
        <v>-8.5807295401510331E-2</v>
      </c>
      <c r="Q62" s="1">
        <f t="shared" si="10"/>
        <v>42833.996599999999</v>
      </c>
      <c r="R62" s="1"/>
      <c r="S62">
        <f t="shared" ca="1" si="12"/>
        <v>4.9430424424950064E-6</v>
      </c>
    </row>
    <row r="63" spans="1:22">
      <c r="A63" s="72" t="s">
        <v>186</v>
      </c>
      <c r="B63" s="73" t="s">
        <v>33</v>
      </c>
      <c r="C63" s="74">
        <v>57901.383909999859</v>
      </c>
      <c r="D63" s="74">
        <v>4.0000000000000002E-4</v>
      </c>
      <c r="E63" s="8">
        <f t="shared" si="7"/>
        <v>18609.2664107159</v>
      </c>
      <c r="F63">
        <f t="shared" si="8"/>
        <v>18609.5</v>
      </c>
      <c r="G63">
        <f t="shared" si="11"/>
        <v>-8.3354000140388962E-2</v>
      </c>
      <c r="K63">
        <f t="shared" si="13"/>
        <v>-8.3354000140388962E-2</v>
      </c>
      <c r="O63">
        <f t="shared" ca="1" si="9"/>
        <v>-8.6509713584901532E-2</v>
      </c>
      <c r="Q63" s="1">
        <f t="shared" si="10"/>
        <v>42882.883909999859</v>
      </c>
      <c r="R63" s="1"/>
      <c r="S63">
        <f t="shared" ca="1" si="12"/>
        <v>9.9585273438773891E-6</v>
      </c>
    </row>
    <row r="64" spans="1:22">
      <c r="A64" s="70" t="s">
        <v>185</v>
      </c>
      <c r="B64" s="46"/>
      <c r="C64" s="47">
        <v>58933.707799999996</v>
      </c>
      <c r="D64" s="47">
        <v>4.0000000000000002E-4</v>
      </c>
      <c r="E64" s="8">
        <f t="shared" si="7"/>
        <v>21502.226532899898</v>
      </c>
      <c r="F64" s="79">
        <f>ROUND(2*E64,0)/2+0.5</f>
        <v>21502.5</v>
      </c>
      <c r="G64">
        <f t="shared" si="11"/>
        <v>-9.7584000002825633E-2</v>
      </c>
      <c r="K64">
        <f t="shared" si="13"/>
        <v>-9.7584000002825633E-2</v>
      </c>
      <c r="O64">
        <f t="shared" ca="1" si="9"/>
        <v>-0.10134252967651255</v>
      </c>
      <c r="Q64" s="1">
        <f t="shared" si="10"/>
        <v>43915.207799999996</v>
      </c>
      <c r="R64" s="1"/>
      <c r="S64">
        <f t="shared" ca="1" si="12"/>
        <v>1.4126545307985123E-5</v>
      </c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</sheetData>
  <protectedRanges>
    <protectedRange sqref="A64:D64" name="Range1"/>
  </protectedRanges>
  <phoneticPr fontId="8" type="noConversion"/>
  <hyperlinks>
    <hyperlink ref="H1388" r:id="rId1" display="http://vsolj.cetus-net.org/bulletin.html"/>
    <hyperlink ref="H64846" r:id="rId2" display="http://vsolj.cetus-net.org/bulletin.html"/>
    <hyperlink ref="H64839" r:id="rId3" display="https://www.aavso.org/ejaavso"/>
    <hyperlink ref="AP990" r:id="rId4" display="http://cdsbib.u-strasbg.fr/cgi-bin/cdsbib?1990RMxAA..21..381G"/>
    <hyperlink ref="AP994" r:id="rId5" display="http://cdsbib.u-strasbg.fr/cgi-bin/cdsbib?1990RMxAA..21..381G"/>
    <hyperlink ref="AP993" r:id="rId6" display="http://cdsbib.u-strasbg.fr/cgi-bin/cdsbib?1990RMxAA..21..381G"/>
    <hyperlink ref="AP974" r:id="rId7" display="http://cdsbib.u-strasbg.fr/cgi-bin/cdsbib?1990RMxAA..21..381G"/>
    <hyperlink ref="I64846" r:id="rId8" display="http://vsolj.cetus-net.org/bulletin.html"/>
    <hyperlink ref="AQ1130" r:id="rId9" display="http://cdsbib.u-strasbg.fr/cgi-bin/cdsbib?1990RMxAA..21..381G"/>
    <hyperlink ref="AQ55896" r:id="rId10" display="http://cdsbib.u-strasbg.fr/cgi-bin/cdsbib?1990RMxAA..21..381G"/>
    <hyperlink ref="AQ1131" r:id="rId11" display="http://cdsbib.u-strasbg.fr/cgi-bin/cdsbib?1990RMxAA..21..381G"/>
    <hyperlink ref="H64843" r:id="rId12" display="https://www.aavso.org/ejaavso"/>
    <hyperlink ref="H2016" r:id="rId13" display="http://vsolj.cetus-net.org/bulletin.html"/>
    <hyperlink ref="AP3260" r:id="rId14" display="http://cdsbib.u-strasbg.fr/cgi-bin/cdsbib?1990RMxAA..21..381G"/>
    <hyperlink ref="AP3263" r:id="rId15" display="http://cdsbib.u-strasbg.fr/cgi-bin/cdsbib?1990RMxAA..21..381G"/>
    <hyperlink ref="AP3261" r:id="rId16" display="http://cdsbib.u-strasbg.fr/cgi-bin/cdsbib?1990RMxAA..21..381G"/>
    <hyperlink ref="AP3245" r:id="rId17" display="http://cdsbib.u-strasbg.fr/cgi-bin/cdsbib?1990RMxAA..21..381G"/>
    <hyperlink ref="I2016" r:id="rId18" display="http://vsolj.cetus-net.org/bulletin.html"/>
    <hyperlink ref="AQ3474" r:id="rId19" display="http://cdsbib.u-strasbg.fr/cgi-bin/cdsbib?1990RMxAA..21..381G"/>
    <hyperlink ref="AQ175" r:id="rId20" display="http://cdsbib.u-strasbg.fr/cgi-bin/cdsbib?1990RMxAA..21..381G"/>
    <hyperlink ref="AQ3478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1"/>
  <sheetViews>
    <sheetView workbookViewId="0">
      <selection activeCell="A29" sqref="A29:D37"/>
    </sheetView>
  </sheetViews>
  <sheetFormatPr defaultRowHeight="12.75"/>
  <cols>
    <col min="1" max="1" width="19.7109375" style="17" customWidth="1"/>
    <col min="2" max="2" width="4.42578125" style="11" customWidth="1"/>
    <col min="3" max="3" width="12.7109375" style="1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50" t="s">
        <v>59</v>
      </c>
      <c r="I1" s="51" t="s">
        <v>60</v>
      </c>
      <c r="J1" s="52" t="s">
        <v>61</v>
      </c>
    </row>
    <row r="2" spans="1:16">
      <c r="I2" s="53" t="s">
        <v>62</v>
      </c>
      <c r="J2" s="54" t="s">
        <v>63</v>
      </c>
    </row>
    <row r="3" spans="1:16">
      <c r="A3" s="55" t="s">
        <v>64</v>
      </c>
      <c r="I3" s="53" t="s">
        <v>65</v>
      </c>
      <c r="J3" s="54" t="s">
        <v>66</v>
      </c>
    </row>
    <row r="4" spans="1:16">
      <c r="I4" s="53" t="s">
        <v>67</v>
      </c>
      <c r="J4" s="54" t="s">
        <v>66</v>
      </c>
    </row>
    <row r="5" spans="1:16" ht="13.5" thickBot="1">
      <c r="I5" s="56" t="s">
        <v>68</v>
      </c>
      <c r="J5" s="57" t="s">
        <v>69</v>
      </c>
    </row>
    <row r="10" spans="1:16" ht="13.5" thickBot="1"/>
    <row r="11" spans="1:16" ht="12.75" customHeight="1" thickBot="1">
      <c r="A11" s="17" t="str">
        <f t="shared" ref="A11:A37" si="0">P11</f>
        <v>BAVM 209 </v>
      </c>
      <c r="B11" s="2" t="str">
        <f t="shared" ref="B11:B37" si="1">IF(H11=INT(H11),"I","II")</f>
        <v>I</v>
      </c>
      <c r="C11" s="17">
        <f t="shared" ref="C11:C37" si="2">1*G11</f>
        <v>54933.406000000003</v>
      </c>
      <c r="D11" s="11" t="str">
        <f t="shared" ref="D11:D37" si="3">VLOOKUP(F11,I$1:J$5,2,FALSE)</f>
        <v>vis</v>
      </c>
      <c r="E11" s="58">
        <f>VLOOKUP(C11,Active!C$21:E$964,3,FALSE)</f>
        <v>10291.87511489745</v>
      </c>
      <c r="F11" s="2" t="s">
        <v>68</v>
      </c>
      <c r="G11" s="11" t="str">
        <f t="shared" ref="G11:G37" si="4">MID(I11,3,LEN(I11)-3)</f>
        <v>54933.4060</v>
      </c>
      <c r="H11" s="17">
        <f t="shared" ref="H11:H37" si="5">1*K11</f>
        <v>6819</v>
      </c>
      <c r="I11" s="59" t="s">
        <v>86</v>
      </c>
      <c r="J11" s="60" t="s">
        <v>87</v>
      </c>
      <c r="K11" s="59">
        <v>6819</v>
      </c>
      <c r="L11" s="59" t="s">
        <v>88</v>
      </c>
      <c r="M11" s="60" t="s">
        <v>73</v>
      </c>
      <c r="N11" s="60" t="s">
        <v>89</v>
      </c>
      <c r="O11" s="61" t="s">
        <v>90</v>
      </c>
      <c r="P11" s="62" t="s">
        <v>91</v>
      </c>
    </row>
    <row r="12" spans="1:16" ht="12.75" customHeight="1" thickBot="1">
      <c r="A12" s="17" t="str">
        <f t="shared" si="0"/>
        <v>BAVM 209 </v>
      </c>
      <c r="B12" s="2" t="str">
        <f t="shared" si="1"/>
        <v>II</v>
      </c>
      <c r="C12" s="17">
        <f t="shared" si="2"/>
        <v>54933.585299999999</v>
      </c>
      <c r="D12" s="11" t="str">
        <f t="shared" si="3"/>
        <v>vis</v>
      </c>
      <c r="E12" s="58">
        <f>VLOOKUP(C12,Active!C$21:E$964,3,FALSE)</f>
        <v>10292.377580988683</v>
      </c>
      <c r="F12" s="2" t="s">
        <v>68</v>
      </c>
      <c r="G12" s="11" t="str">
        <f t="shared" si="4"/>
        <v>54933.5853</v>
      </c>
      <c r="H12" s="17">
        <f t="shared" si="5"/>
        <v>6819.5</v>
      </c>
      <c r="I12" s="59" t="s">
        <v>92</v>
      </c>
      <c r="J12" s="60" t="s">
        <v>93</v>
      </c>
      <c r="K12" s="59" t="s">
        <v>94</v>
      </c>
      <c r="L12" s="59" t="s">
        <v>95</v>
      </c>
      <c r="M12" s="60" t="s">
        <v>73</v>
      </c>
      <c r="N12" s="60" t="s">
        <v>89</v>
      </c>
      <c r="O12" s="61" t="s">
        <v>90</v>
      </c>
      <c r="P12" s="62" t="s">
        <v>91</v>
      </c>
    </row>
    <row r="13" spans="1:16" ht="12.75" customHeight="1" thickBot="1">
      <c r="A13" s="17" t="str">
        <f t="shared" si="0"/>
        <v>BAVM 209 </v>
      </c>
      <c r="B13" s="2" t="str">
        <f t="shared" si="1"/>
        <v>II</v>
      </c>
      <c r="C13" s="17">
        <f t="shared" si="2"/>
        <v>54937.509899999997</v>
      </c>
      <c r="D13" s="11" t="str">
        <f t="shared" si="3"/>
        <v>vis</v>
      </c>
      <c r="E13" s="58">
        <f>VLOOKUP(C13,Active!C$21:E$964,3,FALSE)</f>
        <v>10303.375787467774</v>
      </c>
      <c r="F13" s="2" t="s">
        <v>68</v>
      </c>
      <c r="G13" s="11" t="str">
        <f t="shared" si="4"/>
        <v>54937.5099</v>
      </c>
      <c r="H13" s="17">
        <f t="shared" si="5"/>
        <v>6830.5</v>
      </c>
      <c r="I13" s="59" t="s">
        <v>96</v>
      </c>
      <c r="J13" s="60" t="s">
        <v>97</v>
      </c>
      <c r="K13" s="59" t="s">
        <v>98</v>
      </c>
      <c r="L13" s="59" t="s">
        <v>99</v>
      </c>
      <c r="M13" s="60" t="s">
        <v>73</v>
      </c>
      <c r="N13" s="60" t="s">
        <v>89</v>
      </c>
      <c r="O13" s="61" t="s">
        <v>90</v>
      </c>
      <c r="P13" s="62" t="s">
        <v>91</v>
      </c>
    </row>
    <row r="14" spans="1:16" ht="12.75" customHeight="1" thickBot="1">
      <c r="A14" s="17" t="str">
        <f t="shared" si="0"/>
        <v>BAVM 214 </v>
      </c>
      <c r="B14" s="2" t="str">
        <f t="shared" si="1"/>
        <v>II</v>
      </c>
      <c r="C14" s="17">
        <f t="shared" si="2"/>
        <v>55310.405700000003</v>
      </c>
      <c r="D14" s="11" t="str">
        <f t="shared" si="3"/>
        <v>vis</v>
      </c>
      <c r="E14" s="58">
        <f>VLOOKUP(C14,Active!C$21:E$964,3,FALSE)</f>
        <v>11348.37018271496</v>
      </c>
      <c r="F14" s="2" t="s">
        <v>68</v>
      </c>
      <c r="G14" s="11" t="str">
        <f t="shared" si="4"/>
        <v>55310.4057</v>
      </c>
      <c r="H14" s="17">
        <f t="shared" si="5"/>
        <v>7875.5</v>
      </c>
      <c r="I14" s="59" t="s">
        <v>105</v>
      </c>
      <c r="J14" s="60" t="s">
        <v>106</v>
      </c>
      <c r="K14" s="59" t="s">
        <v>107</v>
      </c>
      <c r="L14" s="59" t="s">
        <v>108</v>
      </c>
      <c r="M14" s="60" t="s">
        <v>73</v>
      </c>
      <c r="N14" s="60" t="s">
        <v>89</v>
      </c>
      <c r="O14" s="61" t="s">
        <v>90</v>
      </c>
      <c r="P14" s="62" t="s">
        <v>109</v>
      </c>
    </row>
    <row r="15" spans="1:16" ht="12.75" customHeight="1" thickBot="1">
      <c r="A15" s="17" t="str">
        <f t="shared" si="0"/>
        <v>BAVM 214 </v>
      </c>
      <c r="B15" s="2" t="str">
        <f t="shared" si="1"/>
        <v>I</v>
      </c>
      <c r="C15" s="17">
        <f t="shared" si="2"/>
        <v>55310.5815</v>
      </c>
      <c r="D15" s="11" t="str">
        <f t="shared" si="3"/>
        <v>vis</v>
      </c>
      <c r="E15" s="58">
        <f>VLOOKUP(C15,Active!C$21:E$964,3,FALSE)</f>
        <v>11348.862840488744</v>
      </c>
      <c r="F15" s="2" t="s">
        <v>68</v>
      </c>
      <c r="G15" s="11" t="str">
        <f t="shared" si="4"/>
        <v>55310.5815</v>
      </c>
      <c r="H15" s="17">
        <f t="shared" si="5"/>
        <v>7876</v>
      </c>
      <c r="I15" s="59" t="s">
        <v>110</v>
      </c>
      <c r="J15" s="60" t="s">
        <v>111</v>
      </c>
      <c r="K15" s="59" t="s">
        <v>112</v>
      </c>
      <c r="L15" s="59" t="s">
        <v>113</v>
      </c>
      <c r="M15" s="60" t="s">
        <v>73</v>
      </c>
      <c r="N15" s="60" t="s">
        <v>89</v>
      </c>
      <c r="O15" s="61" t="s">
        <v>90</v>
      </c>
      <c r="P15" s="62" t="s">
        <v>109</v>
      </c>
    </row>
    <row r="16" spans="1:16" ht="12.75" customHeight="1" thickBot="1">
      <c r="A16" s="17" t="str">
        <f t="shared" si="0"/>
        <v>OEJV 0160 </v>
      </c>
      <c r="B16" s="2" t="str">
        <f t="shared" si="1"/>
        <v>I</v>
      </c>
      <c r="C16" s="17">
        <f t="shared" si="2"/>
        <v>55651.358699999997</v>
      </c>
      <c r="D16" s="11" t="str">
        <f t="shared" si="3"/>
        <v>vis</v>
      </c>
      <c r="E16" s="58">
        <f>VLOOKUP(C16,Active!C$21:E$964,3,FALSE)</f>
        <v>12303.848828606659</v>
      </c>
      <c r="F16" s="2" t="s">
        <v>68</v>
      </c>
      <c r="G16" s="11" t="str">
        <f t="shared" si="4"/>
        <v>55651.3587</v>
      </c>
      <c r="H16" s="17">
        <f t="shared" si="5"/>
        <v>8831</v>
      </c>
      <c r="I16" s="59" t="s">
        <v>122</v>
      </c>
      <c r="J16" s="60" t="s">
        <v>123</v>
      </c>
      <c r="K16" s="59" t="s">
        <v>124</v>
      </c>
      <c r="L16" s="59" t="s">
        <v>95</v>
      </c>
      <c r="M16" s="60" t="s">
        <v>73</v>
      </c>
      <c r="N16" s="60" t="s">
        <v>60</v>
      </c>
      <c r="O16" s="61" t="s">
        <v>125</v>
      </c>
      <c r="P16" s="62" t="s">
        <v>126</v>
      </c>
    </row>
    <row r="17" spans="1:16" ht="12.75" customHeight="1" thickBot="1">
      <c r="A17" s="17" t="str">
        <f t="shared" si="0"/>
        <v>BAVM 220 </v>
      </c>
      <c r="B17" s="2" t="str">
        <f t="shared" si="1"/>
        <v>I</v>
      </c>
      <c r="C17" s="17">
        <f t="shared" si="2"/>
        <v>55662.421300000002</v>
      </c>
      <c r="D17" s="11" t="str">
        <f t="shared" si="3"/>
        <v>vis</v>
      </c>
      <c r="E17" s="58">
        <f>VLOOKUP(C17,Active!C$21:E$964,3,FALSE)</f>
        <v>12334.850397937464</v>
      </c>
      <c r="F17" s="2" t="s">
        <v>68</v>
      </c>
      <c r="G17" s="11" t="str">
        <f t="shared" si="4"/>
        <v>55662.4213</v>
      </c>
      <c r="H17" s="17">
        <f t="shared" si="5"/>
        <v>8862</v>
      </c>
      <c r="I17" s="59" t="s">
        <v>127</v>
      </c>
      <c r="J17" s="60" t="s">
        <v>128</v>
      </c>
      <c r="K17" s="59" t="s">
        <v>129</v>
      </c>
      <c r="L17" s="59" t="s">
        <v>72</v>
      </c>
      <c r="M17" s="60" t="s">
        <v>73</v>
      </c>
      <c r="N17" s="60" t="s">
        <v>89</v>
      </c>
      <c r="O17" s="61" t="s">
        <v>90</v>
      </c>
      <c r="P17" s="62" t="s">
        <v>130</v>
      </c>
    </row>
    <row r="18" spans="1:16" ht="12.75" customHeight="1" thickBot="1">
      <c r="A18" s="17" t="str">
        <f t="shared" si="0"/>
        <v>BAVM 220 </v>
      </c>
      <c r="B18" s="2" t="str">
        <f t="shared" si="1"/>
        <v>II</v>
      </c>
      <c r="C18" s="17">
        <f t="shared" si="2"/>
        <v>55662.600299999998</v>
      </c>
      <c r="D18" s="11" t="str">
        <f t="shared" si="3"/>
        <v>vis</v>
      </c>
      <c r="E18" s="58">
        <f>VLOOKUP(C18,Active!C$21:E$964,3,FALSE)</f>
        <v>12335.352023315776</v>
      </c>
      <c r="F18" s="2" t="s">
        <v>68</v>
      </c>
      <c r="G18" s="11" t="str">
        <f t="shared" si="4"/>
        <v>55662.6003</v>
      </c>
      <c r="H18" s="17">
        <f t="shared" si="5"/>
        <v>8862.5</v>
      </c>
      <c r="I18" s="59" t="s">
        <v>131</v>
      </c>
      <c r="J18" s="60" t="s">
        <v>132</v>
      </c>
      <c r="K18" s="59" t="s">
        <v>133</v>
      </c>
      <c r="L18" s="59" t="s">
        <v>134</v>
      </c>
      <c r="M18" s="60" t="s">
        <v>73</v>
      </c>
      <c r="N18" s="60" t="s">
        <v>89</v>
      </c>
      <c r="O18" s="61" t="s">
        <v>90</v>
      </c>
      <c r="P18" s="62" t="s">
        <v>130</v>
      </c>
    </row>
    <row r="19" spans="1:16" ht="12.75" customHeight="1" thickBot="1">
      <c r="A19" s="17" t="str">
        <f t="shared" si="0"/>
        <v>OEJV 0160 </v>
      </c>
      <c r="B19" s="2" t="str">
        <f t="shared" si="1"/>
        <v>II</v>
      </c>
      <c r="C19" s="17">
        <f t="shared" si="2"/>
        <v>55674.375379999998</v>
      </c>
      <c r="D19" s="11" t="str">
        <f t="shared" si="3"/>
        <v>vis</v>
      </c>
      <c r="E19" s="58">
        <f>VLOOKUP(C19,Active!C$21:E$964,3,FALSE)</f>
        <v>12368.350229794869</v>
      </c>
      <c r="F19" s="2" t="s">
        <v>68</v>
      </c>
      <c r="G19" s="11" t="str">
        <f t="shared" si="4"/>
        <v>55674.37538</v>
      </c>
      <c r="H19" s="17">
        <f t="shared" si="5"/>
        <v>8895.5</v>
      </c>
      <c r="I19" s="59" t="s">
        <v>135</v>
      </c>
      <c r="J19" s="60" t="s">
        <v>136</v>
      </c>
      <c r="K19" s="59" t="s">
        <v>137</v>
      </c>
      <c r="L19" s="59" t="s">
        <v>138</v>
      </c>
      <c r="M19" s="60" t="s">
        <v>73</v>
      </c>
      <c r="N19" s="60" t="s">
        <v>74</v>
      </c>
      <c r="O19" s="61" t="s">
        <v>139</v>
      </c>
      <c r="P19" s="62" t="s">
        <v>126</v>
      </c>
    </row>
    <row r="20" spans="1:16" ht="12.75" customHeight="1" thickBot="1">
      <c r="A20" s="17" t="str">
        <f t="shared" si="0"/>
        <v>OEJV 0160 </v>
      </c>
      <c r="B20" s="2" t="str">
        <f t="shared" si="1"/>
        <v>I</v>
      </c>
      <c r="C20" s="17">
        <f t="shared" si="2"/>
        <v>55674.552049999998</v>
      </c>
      <c r="D20" s="11" t="str">
        <f t="shared" si="3"/>
        <v>vis</v>
      </c>
      <c r="E20" s="58">
        <f>VLOOKUP(C20,Active!C$21:E$964,3,FALSE)</f>
        <v>12368.845325636143</v>
      </c>
      <c r="F20" s="2" t="s">
        <v>68</v>
      </c>
      <c r="G20" s="11" t="str">
        <f t="shared" si="4"/>
        <v>55674.55205</v>
      </c>
      <c r="H20" s="17">
        <f t="shared" si="5"/>
        <v>8896</v>
      </c>
      <c r="I20" s="59" t="s">
        <v>140</v>
      </c>
      <c r="J20" s="60" t="s">
        <v>141</v>
      </c>
      <c r="K20" s="59" t="s">
        <v>142</v>
      </c>
      <c r="L20" s="59" t="s">
        <v>143</v>
      </c>
      <c r="M20" s="60" t="s">
        <v>73</v>
      </c>
      <c r="N20" s="60" t="s">
        <v>60</v>
      </c>
      <c r="O20" s="61" t="s">
        <v>118</v>
      </c>
      <c r="P20" s="62" t="s">
        <v>126</v>
      </c>
    </row>
    <row r="21" spans="1:16" ht="12.75" customHeight="1" thickBot="1">
      <c r="A21" s="17" t="str">
        <f t="shared" si="0"/>
        <v>BAVM 220 </v>
      </c>
      <c r="B21" s="2" t="str">
        <f t="shared" si="1"/>
        <v>II</v>
      </c>
      <c r="C21" s="17">
        <f t="shared" si="2"/>
        <v>55675.446799999998</v>
      </c>
      <c r="D21" s="11" t="str">
        <f t="shared" si="3"/>
        <v>vis</v>
      </c>
      <c r="E21" s="58">
        <f>VLOOKUP(C21,Active!C$21:E$964,3,FALSE)</f>
        <v>12371.352751933642</v>
      </c>
      <c r="F21" s="2" t="s">
        <v>68</v>
      </c>
      <c r="G21" s="11" t="str">
        <f t="shared" si="4"/>
        <v>55675.4468</v>
      </c>
      <c r="H21" s="17">
        <f t="shared" si="5"/>
        <v>8898.5</v>
      </c>
      <c r="I21" s="59" t="s">
        <v>144</v>
      </c>
      <c r="J21" s="60" t="s">
        <v>145</v>
      </c>
      <c r="K21" s="59" t="s">
        <v>146</v>
      </c>
      <c r="L21" s="59" t="s">
        <v>117</v>
      </c>
      <c r="M21" s="60" t="s">
        <v>73</v>
      </c>
      <c r="N21" s="60" t="s">
        <v>89</v>
      </c>
      <c r="O21" s="61" t="s">
        <v>90</v>
      </c>
      <c r="P21" s="62" t="s">
        <v>130</v>
      </c>
    </row>
    <row r="22" spans="1:16" ht="12.75" customHeight="1" thickBot="1">
      <c r="A22" s="17" t="str">
        <f t="shared" si="0"/>
        <v>OEJV 0160 </v>
      </c>
      <c r="B22" s="2" t="str">
        <f t="shared" si="1"/>
        <v>I</v>
      </c>
      <c r="C22" s="17">
        <f t="shared" si="2"/>
        <v>55687.398459999997</v>
      </c>
      <c r="D22" s="11" t="str">
        <f t="shared" si="3"/>
        <v>vis</v>
      </c>
      <c r="E22" s="58">
        <f>VLOOKUP(C22,Active!C$21:E$964,3,FALSE)</f>
        <v>12404.845802040129</v>
      </c>
      <c r="F22" s="2" t="s">
        <v>68</v>
      </c>
      <c r="G22" s="11" t="str">
        <f t="shared" si="4"/>
        <v>55687.39846</v>
      </c>
      <c r="H22" s="17">
        <f t="shared" si="5"/>
        <v>8932</v>
      </c>
      <c r="I22" s="59" t="s">
        <v>147</v>
      </c>
      <c r="J22" s="60" t="s">
        <v>148</v>
      </c>
      <c r="K22" s="59" t="s">
        <v>149</v>
      </c>
      <c r="L22" s="59" t="s">
        <v>150</v>
      </c>
      <c r="M22" s="60" t="s">
        <v>73</v>
      </c>
      <c r="N22" s="60" t="s">
        <v>74</v>
      </c>
      <c r="O22" s="61" t="s">
        <v>139</v>
      </c>
      <c r="P22" s="62" t="s">
        <v>126</v>
      </c>
    </row>
    <row r="23" spans="1:16" ht="12.75" customHeight="1" thickBot="1">
      <c r="A23" s="17" t="str">
        <f t="shared" si="0"/>
        <v>OEJV 0160 </v>
      </c>
      <c r="B23" s="2" t="str">
        <f t="shared" si="1"/>
        <v>I</v>
      </c>
      <c r="C23" s="17">
        <f t="shared" si="2"/>
        <v>55959.663079999998</v>
      </c>
      <c r="D23" s="11" t="str">
        <f t="shared" si="3"/>
        <v>vis</v>
      </c>
      <c r="E23" s="58">
        <f>VLOOKUP(C23,Active!C$21:E$964,3,FALSE)</f>
        <v>13167.833751821549</v>
      </c>
      <c r="F23" s="2" t="s">
        <v>68</v>
      </c>
      <c r="G23" s="11" t="str">
        <f t="shared" si="4"/>
        <v>55959.66308</v>
      </c>
      <c r="H23" s="17">
        <f t="shared" si="5"/>
        <v>9695</v>
      </c>
      <c r="I23" s="59" t="s">
        <v>151</v>
      </c>
      <c r="J23" s="60" t="s">
        <v>152</v>
      </c>
      <c r="K23" s="59" t="s">
        <v>153</v>
      </c>
      <c r="L23" s="59" t="s">
        <v>154</v>
      </c>
      <c r="M23" s="60" t="s">
        <v>73</v>
      </c>
      <c r="N23" s="60" t="s">
        <v>74</v>
      </c>
      <c r="O23" s="61" t="s">
        <v>139</v>
      </c>
      <c r="P23" s="62" t="s">
        <v>126</v>
      </c>
    </row>
    <row r="24" spans="1:16" ht="12.75" customHeight="1" thickBot="1">
      <c r="A24" s="17" t="str">
        <f t="shared" si="0"/>
        <v>BAVM 228 </v>
      </c>
      <c r="B24" s="2" t="str">
        <f t="shared" si="1"/>
        <v>II</v>
      </c>
      <c r="C24" s="17">
        <f t="shared" si="2"/>
        <v>56008.372199999998</v>
      </c>
      <c r="D24" s="11" t="str">
        <f t="shared" si="3"/>
        <v>vis</v>
      </c>
      <c r="E24" s="58">
        <f>VLOOKUP(C24,Active!C$21:E$964,3,FALSE)</f>
        <v>13304.335040914699</v>
      </c>
      <c r="F24" s="2" t="s">
        <v>68</v>
      </c>
      <c r="G24" s="11" t="str">
        <f t="shared" si="4"/>
        <v>56008.3722</v>
      </c>
      <c r="H24" s="17">
        <f t="shared" si="5"/>
        <v>9831.5</v>
      </c>
      <c r="I24" s="59" t="s">
        <v>155</v>
      </c>
      <c r="J24" s="60" t="s">
        <v>156</v>
      </c>
      <c r="K24" s="59" t="s">
        <v>157</v>
      </c>
      <c r="L24" s="59" t="s">
        <v>85</v>
      </c>
      <c r="M24" s="60" t="s">
        <v>73</v>
      </c>
      <c r="N24" s="60" t="s">
        <v>89</v>
      </c>
      <c r="O24" s="61" t="s">
        <v>90</v>
      </c>
      <c r="P24" s="62" t="s">
        <v>158</v>
      </c>
    </row>
    <row r="25" spans="1:16" ht="12.75" customHeight="1" thickBot="1">
      <c r="A25" s="17" t="str">
        <f t="shared" si="0"/>
        <v>BAVM 228 </v>
      </c>
      <c r="B25" s="2" t="str">
        <f t="shared" si="1"/>
        <v>I</v>
      </c>
      <c r="C25" s="17">
        <f t="shared" si="2"/>
        <v>56008.549700000003</v>
      </c>
      <c r="D25" s="11" t="str">
        <f t="shared" si="3"/>
        <v>vis</v>
      </c>
      <c r="E25" s="58">
        <f>VLOOKUP(C25,Active!C$21:E$964,3,FALSE)</f>
        <v>13304.832462728411</v>
      </c>
      <c r="F25" s="2" t="s">
        <v>68</v>
      </c>
      <c r="G25" s="11" t="str">
        <f t="shared" si="4"/>
        <v>56008.5497</v>
      </c>
      <c r="H25" s="17">
        <f t="shared" si="5"/>
        <v>9832</v>
      </c>
      <c r="I25" s="59" t="s">
        <v>159</v>
      </c>
      <c r="J25" s="60" t="s">
        <v>160</v>
      </c>
      <c r="K25" s="59" t="s">
        <v>161</v>
      </c>
      <c r="L25" s="59" t="s">
        <v>162</v>
      </c>
      <c r="M25" s="60" t="s">
        <v>73</v>
      </c>
      <c r="N25" s="60" t="s">
        <v>89</v>
      </c>
      <c r="O25" s="61" t="s">
        <v>90</v>
      </c>
      <c r="P25" s="62" t="s">
        <v>158</v>
      </c>
    </row>
    <row r="26" spans="1:16" ht="12.75" customHeight="1" thickBot="1">
      <c r="A26" s="17" t="str">
        <f t="shared" si="0"/>
        <v>OEJV 0160 </v>
      </c>
      <c r="B26" s="2" t="str">
        <f t="shared" si="1"/>
        <v>II</v>
      </c>
      <c r="C26" s="17">
        <f t="shared" si="2"/>
        <v>56074.38695</v>
      </c>
      <c r="D26" s="11" t="str">
        <f t="shared" si="3"/>
        <v>vis</v>
      </c>
      <c r="E26" s="58">
        <f>VLOOKUP(C26,Active!C$21:E$964,3,FALSE)</f>
        <v>13489.333219370035</v>
      </c>
      <c r="F26" s="2" t="s">
        <v>68</v>
      </c>
      <c r="G26" s="11" t="str">
        <f t="shared" si="4"/>
        <v>56074.38695</v>
      </c>
      <c r="H26" s="17">
        <f t="shared" si="5"/>
        <v>10016.5</v>
      </c>
      <c r="I26" s="59" t="s">
        <v>163</v>
      </c>
      <c r="J26" s="60" t="s">
        <v>164</v>
      </c>
      <c r="K26" s="59" t="s">
        <v>165</v>
      </c>
      <c r="L26" s="59" t="s">
        <v>166</v>
      </c>
      <c r="M26" s="60" t="s">
        <v>73</v>
      </c>
      <c r="N26" s="60" t="s">
        <v>74</v>
      </c>
      <c r="O26" s="61" t="s">
        <v>139</v>
      </c>
      <c r="P26" s="62" t="s">
        <v>126</v>
      </c>
    </row>
    <row r="27" spans="1:16" ht="12.75" customHeight="1" thickBot="1">
      <c r="A27" s="17" t="str">
        <f t="shared" si="0"/>
        <v>OEJV 0160 </v>
      </c>
      <c r="B27" s="2" t="str">
        <f t="shared" si="1"/>
        <v>I</v>
      </c>
      <c r="C27" s="17">
        <f t="shared" si="2"/>
        <v>56400.346160000001</v>
      </c>
      <c r="D27" s="11" t="str">
        <f t="shared" si="3"/>
        <v>vis</v>
      </c>
      <c r="E27" s="58">
        <f>VLOOKUP(C27,Active!C$21:E$964,3,FALSE)</f>
        <v>14402.79362179129</v>
      </c>
      <c r="F27" s="2" t="s">
        <v>68</v>
      </c>
      <c r="G27" s="11" t="str">
        <f t="shared" si="4"/>
        <v>56400.34616</v>
      </c>
      <c r="H27" s="17">
        <f t="shared" si="5"/>
        <v>10930</v>
      </c>
      <c r="I27" s="59" t="s">
        <v>167</v>
      </c>
      <c r="J27" s="60" t="s">
        <v>168</v>
      </c>
      <c r="K27" s="59" t="s">
        <v>169</v>
      </c>
      <c r="L27" s="59" t="s">
        <v>170</v>
      </c>
      <c r="M27" s="60" t="s">
        <v>73</v>
      </c>
      <c r="N27" s="60" t="s">
        <v>74</v>
      </c>
      <c r="O27" s="61" t="s">
        <v>139</v>
      </c>
      <c r="P27" s="62" t="s">
        <v>126</v>
      </c>
    </row>
    <row r="28" spans="1:16" ht="12.75" customHeight="1" thickBot="1">
      <c r="A28" s="17" t="str">
        <f t="shared" si="0"/>
        <v>OEJV 0160 </v>
      </c>
      <c r="B28" s="2" t="str">
        <f t="shared" si="1"/>
        <v>II</v>
      </c>
      <c r="C28" s="17">
        <f t="shared" si="2"/>
        <v>56428.361900000004</v>
      </c>
      <c r="D28" s="11" t="str">
        <f t="shared" si="3"/>
        <v>vis</v>
      </c>
      <c r="E28" s="58">
        <f>VLOOKUP(C28,Active!C$21:E$964,3,FALSE)</f>
        <v>14481.304270821674</v>
      </c>
      <c r="F28" s="2" t="s">
        <v>68</v>
      </c>
      <c r="G28" s="11" t="str">
        <f t="shared" si="4"/>
        <v>56428.3619</v>
      </c>
      <c r="H28" s="17">
        <f t="shared" si="5"/>
        <v>11008.5</v>
      </c>
      <c r="I28" s="59" t="s">
        <v>171</v>
      </c>
      <c r="J28" s="60" t="s">
        <v>172</v>
      </c>
      <c r="K28" s="59" t="s">
        <v>173</v>
      </c>
      <c r="L28" s="59" t="s">
        <v>174</v>
      </c>
      <c r="M28" s="60" t="s">
        <v>73</v>
      </c>
      <c r="N28" s="60" t="s">
        <v>74</v>
      </c>
      <c r="O28" s="61" t="s">
        <v>139</v>
      </c>
      <c r="P28" s="62" t="s">
        <v>126</v>
      </c>
    </row>
    <row r="29" spans="1:16" ht="12.75" customHeight="1" thickBot="1">
      <c r="A29" s="17" t="str">
        <f t="shared" si="0"/>
        <v>IBVS 5820 </v>
      </c>
      <c r="B29" s="2" t="str">
        <f t="shared" si="1"/>
        <v>II</v>
      </c>
      <c r="C29" s="17">
        <f t="shared" si="2"/>
        <v>54133.919000000002</v>
      </c>
      <c r="D29" s="11" t="str">
        <f t="shared" si="3"/>
        <v>vis</v>
      </c>
      <c r="E29" s="58" t="e">
        <f>VLOOKUP(C29,Active!C$21:E$964,3,FALSE)</f>
        <v>#N/A</v>
      </c>
      <c r="F29" s="2" t="s">
        <v>68</v>
      </c>
      <c r="G29" s="11" t="str">
        <f t="shared" si="4"/>
        <v>54133.9190</v>
      </c>
      <c r="H29" s="17">
        <f t="shared" si="5"/>
        <v>4578.5</v>
      </c>
      <c r="I29" s="59" t="s">
        <v>70</v>
      </c>
      <c r="J29" s="60" t="s">
        <v>71</v>
      </c>
      <c r="K29" s="59">
        <v>4578.5</v>
      </c>
      <c r="L29" s="59" t="s">
        <v>72</v>
      </c>
      <c r="M29" s="60" t="s">
        <v>73</v>
      </c>
      <c r="N29" s="60" t="s">
        <v>74</v>
      </c>
      <c r="O29" s="61" t="s">
        <v>75</v>
      </c>
      <c r="P29" s="62" t="s">
        <v>76</v>
      </c>
    </row>
    <row r="30" spans="1:16" ht="12.75" customHeight="1" thickBot="1">
      <c r="A30" s="17" t="str">
        <f t="shared" si="0"/>
        <v>OEJV 0137 </v>
      </c>
      <c r="B30" s="2" t="str">
        <f t="shared" si="1"/>
        <v>I</v>
      </c>
      <c r="C30" s="17">
        <f t="shared" si="2"/>
        <v>54912.353499999997</v>
      </c>
      <c r="D30" s="11" t="str">
        <f t="shared" si="3"/>
        <v>vis</v>
      </c>
      <c r="E30" s="58" t="e">
        <f>VLOOKUP(C30,Active!C$21:E$964,3,FALSE)</f>
        <v>#N/A</v>
      </c>
      <c r="F30" s="2" t="s">
        <v>68</v>
      </c>
      <c r="G30" s="11" t="str">
        <f t="shared" si="4"/>
        <v>54912.3535</v>
      </c>
      <c r="H30" s="17">
        <f t="shared" si="5"/>
        <v>6760</v>
      </c>
      <c r="I30" s="59" t="s">
        <v>77</v>
      </c>
      <c r="J30" s="60" t="s">
        <v>78</v>
      </c>
      <c r="K30" s="59">
        <v>6760</v>
      </c>
      <c r="L30" s="59" t="s">
        <v>79</v>
      </c>
      <c r="M30" s="60" t="s">
        <v>73</v>
      </c>
      <c r="N30" s="60" t="s">
        <v>80</v>
      </c>
      <c r="O30" s="61" t="s">
        <v>81</v>
      </c>
      <c r="P30" s="62" t="s">
        <v>82</v>
      </c>
    </row>
    <row r="31" spans="1:16" ht="12.75" customHeight="1" thickBot="1">
      <c r="A31" s="17" t="str">
        <f t="shared" si="0"/>
        <v>OEJV 0137 </v>
      </c>
      <c r="B31" s="2" t="str">
        <f t="shared" si="1"/>
        <v>II</v>
      </c>
      <c r="C31" s="17">
        <f t="shared" si="2"/>
        <v>54925.378299999997</v>
      </c>
      <c r="D31" s="11" t="str">
        <f t="shared" si="3"/>
        <v>vis</v>
      </c>
      <c r="E31" s="58" t="e">
        <f>VLOOKUP(C31,Active!C$21:E$964,3,FALSE)</f>
        <v>#N/A</v>
      </c>
      <c r="F31" s="2" t="s">
        <v>68</v>
      </c>
      <c r="G31" s="11" t="str">
        <f t="shared" si="4"/>
        <v>54925.3783</v>
      </c>
      <c r="H31" s="17">
        <f t="shared" si="5"/>
        <v>6796.5</v>
      </c>
      <c r="I31" s="59" t="s">
        <v>83</v>
      </c>
      <c r="J31" s="60" t="s">
        <v>84</v>
      </c>
      <c r="K31" s="59">
        <v>6796.5</v>
      </c>
      <c r="L31" s="59" t="s">
        <v>85</v>
      </c>
      <c r="M31" s="60" t="s">
        <v>73</v>
      </c>
      <c r="N31" s="60" t="s">
        <v>68</v>
      </c>
      <c r="O31" s="61" t="s">
        <v>81</v>
      </c>
      <c r="P31" s="62" t="s">
        <v>82</v>
      </c>
    </row>
    <row r="32" spans="1:16" ht="12.75" customHeight="1" thickBot="1">
      <c r="A32" s="17" t="str">
        <f t="shared" si="0"/>
        <v>OEJV 0137 </v>
      </c>
      <c r="B32" s="2" t="str">
        <f t="shared" si="1"/>
        <v>II</v>
      </c>
      <c r="C32" s="17">
        <f t="shared" si="2"/>
        <v>55304.335599999999</v>
      </c>
      <c r="D32" s="11" t="str">
        <f t="shared" si="3"/>
        <v>vis</v>
      </c>
      <c r="E32" s="58" t="e">
        <f>VLOOKUP(C32,Active!C$21:E$964,3,FALSE)</f>
        <v>#N/A</v>
      </c>
      <c r="F32" s="2" t="s">
        <v>68</v>
      </c>
      <c r="G32" s="11" t="str">
        <f t="shared" si="4"/>
        <v>55304.3356</v>
      </c>
      <c r="H32" s="17">
        <f t="shared" si="5"/>
        <v>7858.5</v>
      </c>
      <c r="I32" s="59" t="s">
        <v>100</v>
      </c>
      <c r="J32" s="60" t="s">
        <v>101</v>
      </c>
      <c r="K32" s="59" t="s">
        <v>102</v>
      </c>
      <c r="L32" s="59" t="s">
        <v>103</v>
      </c>
      <c r="M32" s="60" t="s">
        <v>73</v>
      </c>
      <c r="N32" s="60" t="s">
        <v>60</v>
      </c>
      <c r="O32" s="61" t="s">
        <v>104</v>
      </c>
      <c r="P32" s="62" t="s">
        <v>82</v>
      </c>
    </row>
    <row r="33" spans="1:16" ht="12.75" customHeight="1" thickBot="1">
      <c r="A33" s="17" t="str">
        <f t="shared" si="0"/>
        <v>OEJV 0137 </v>
      </c>
      <c r="B33" s="2" t="str">
        <f t="shared" si="1"/>
        <v>II</v>
      </c>
      <c r="C33" s="17">
        <f t="shared" si="2"/>
        <v>55315.400300000001</v>
      </c>
      <c r="D33" s="11" t="str">
        <f t="shared" si="3"/>
        <v>vis</v>
      </c>
      <c r="E33" s="58" t="e">
        <f>VLOOKUP(C33,Active!C$21:E$964,3,FALSE)</f>
        <v>#N/A</v>
      </c>
      <c r="F33" s="2" t="s">
        <v>68</v>
      </c>
      <c r="G33" s="11" t="str">
        <f t="shared" si="4"/>
        <v>55315.4003</v>
      </c>
      <c r="H33" s="17">
        <f t="shared" si="5"/>
        <v>7889.5</v>
      </c>
      <c r="I33" s="59" t="s">
        <v>114</v>
      </c>
      <c r="J33" s="60" t="s">
        <v>115</v>
      </c>
      <c r="K33" s="59" t="s">
        <v>116</v>
      </c>
      <c r="L33" s="59" t="s">
        <v>117</v>
      </c>
      <c r="M33" s="60" t="s">
        <v>73</v>
      </c>
      <c r="N33" s="60" t="s">
        <v>74</v>
      </c>
      <c r="O33" s="61" t="s">
        <v>118</v>
      </c>
      <c r="P33" s="62" t="s">
        <v>82</v>
      </c>
    </row>
    <row r="34" spans="1:16" ht="12.75" customHeight="1" thickBot="1">
      <c r="A34" s="17" t="str">
        <f t="shared" si="0"/>
        <v>OEJV 0137 </v>
      </c>
      <c r="B34" s="2" t="str">
        <f t="shared" si="1"/>
        <v>II</v>
      </c>
      <c r="C34" s="17">
        <f t="shared" si="2"/>
        <v>55315.400999999998</v>
      </c>
      <c r="D34" s="11" t="str">
        <f t="shared" si="3"/>
        <v>vis</v>
      </c>
      <c r="E34" s="58" t="e">
        <f>VLOOKUP(C34,Active!C$21:E$964,3,FALSE)</f>
        <v>#N/A</v>
      </c>
      <c r="F34" s="2" t="s">
        <v>68</v>
      </c>
      <c r="G34" s="11" t="str">
        <f t="shared" si="4"/>
        <v>55315.4010</v>
      </c>
      <c r="H34" s="17">
        <f t="shared" si="5"/>
        <v>7889.5</v>
      </c>
      <c r="I34" s="59" t="s">
        <v>119</v>
      </c>
      <c r="J34" s="60" t="s">
        <v>120</v>
      </c>
      <c r="K34" s="59" t="s">
        <v>116</v>
      </c>
      <c r="L34" s="59" t="s">
        <v>121</v>
      </c>
      <c r="M34" s="60" t="s">
        <v>73</v>
      </c>
      <c r="N34" s="60" t="s">
        <v>80</v>
      </c>
      <c r="O34" s="61" t="s">
        <v>118</v>
      </c>
      <c r="P34" s="62" t="s">
        <v>82</v>
      </c>
    </row>
    <row r="35" spans="1:16" ht="12.75" customHeight="1" thickBot="1">
      <c r="A35" s="17" t="str">
        <f t="shared" si="0"/>
        <v>OEJV 0137 </v>
      </c>
      <c r="B35" s="2" t="str">
        <f t="shared" si="1"/>
        <v>II</v>
      </c>
      <c r="C35" s="17">
        <f t="shared" si="2"/>
        <v>55315.400999999998</v>
      </c>
      <c r="D35" s="11" t="str">
        <f t="shared" si="3"/>
        <v>vis</v>
      </c>
      <c r="E35" s="58" t="e">
        <f>VLOOKUP(C35,Active!C$21:E$964,3,FALSE)</f>
        <v>#N/A</v>
      </c>
      <c r="F35" s="2" t="s">
        <v>68</v>
      </c>
      <c r="G35" s="11" t="str">
        <f t="shared" si="4"/>
        <v>55315.4010</v>
      </c>
      <c r="H35" s="17">
        <f t="shared" si="5"/>
        <v>7889.5</v>
      </c>
      <c r="I35" s="59" t="s">
        <v>119</v>
      </c>
      <c r="J35" s="60" t="s">
        <v>120</v>
      </c>
      <c r="K35" s="59" t="s">
        <v>116</v>
      </c>
      <c r="L35" s="59" t="s">
        <v>121</v>
      </c>
      <c r="M35" s="60" t="s">
        <v>73</v>
      </c>
      <c r="N35" s="60" t="s">
        <v>68</v>
      </c>
      <c r="O35" s="61" t="s">
        <v>118</v>
      </c>
      <c r="P35" s="62" t="s">
        <v>82</v>
      </c>
    </row>
    <row r="36" spans="1:16" ht="12.75" customHeight="1" thickBot="1">
      <c r="A36" s="17" t="str">
        <f t="shared" si="0"/>
        <v>BAVM 241 (=IBVS 6157) </v>
      </c>
      <c r="B36" s="2" t="str">
        <f t="shared" si="1"/>
        <v>I</v>
      </c>
      <c r="C36" s="17">
        <f t="shared" si="2"/>
        <v>57100.466</v>
      </c>
      <c r="D36" s="11" t="str">
        <f t="shared" si="3"/>
        <v>vis</v>
      </c>
      <c r="E36" s="58">
        <f>VLOOKUP(C36,Active!C$21:E$964,3,FALSE)</f>
        <v>16364.79294922095</v>
      </c>
      <c r="F36" s="2" t="s">
        <v>68</v>
      </c>
      <c r="G36" s="11" t="str">
        <f t="shared" si="4"/>
        <v>57100.466</v>
      </c>
      <c r="H36" s="17">
        <f t="shared" si="5"/>
        <v>12892</v>
      </c>
      <c r="I36" s="59" t="s">
        <v>175</v>
      </c>
      <c r="J36" s="60" t="s">
        <v>176</v>
      </c>
      <c r="K36" s="59" t="s">
        <v>177</v>
      </c>
      <c r="L36" s="59" t="s">
        <v>178</v>
      </c>
      <c r="M36" s="60" t="s">
        <v>73</v>
      </c>
      <c r="N36" s="60" t="s">
        <v>89</v>
      </c>
      <c r="O36" s="61" t="s">
        <v>90</v>
      </c>
      <c r="P36" s="62" t="s">
        <v>179</v>
      </c>
    </row>
    <row r="37" spans="1:16" ht="12.75" customHeight="1" thickBot="1">
      <c r="A37" s="17" t="str">
        <f t="shared" si="0"/>
        <v>BAVM 241 (=IBVS 6157) </v>
      </c>
      <c r="B37" s="2" t="str">
        <f t="shared" si="1"/>
        <v>II</v>
      </c>
      <c r="C37" s="17">
        <f t="shared" si="2"/>
        <v>57100.641300000003</v>
      </c>
      <c r="D37" s="11" t="str">
        <f t="shared" si="3"/>
        <v>vis</v>
      </c>
      <c r="E37" s="58">
        <f>VLOOKUP(C37,Active!C$21:E$964,3,FALSE)</f>
        <v>16365.284205806542</v>
      </c>
      <c r="F37" s="2" t="s">
        <v>68</v>
      </c>
      <c r="G37" s="11" t="str">
        <f t="shared" si="4"/>
        <v>57100.6413</v>
      </c>
      <c r="H37" s="17">
        <f t="shared" si="5"/>
        <v>12892.5</v>
      </c>
      <c r="I37" s="59" t="s">
        <v>180</v>
      </c>
      <c r="J37" s="60" t="s">
        <v>181</v>
      </c>
      <c r="K37" s="59" t="s">
        <v>182</v>
      </c>
      <c r="L37" s="59" t="s">
        <v>183</v>
      </c>
      <c r="M37" s="60" t="s">
        <v>73</v>
      </c>
      <c r="N37" s="60" t="s">
        <v>89</v>
      </c>
      <c r="O37" s="61" t="s">
        <v>90</v>
      </c>
      <c r="P37" s="62" t="s">
        <v>179</v>
      </c>
    </row>
    <row r="38" spans="1:16">
      <c r="B38" s="2"/>
      <c r="F38" s="2"/>
    </row>
    <row r="39" spans="1:16">
      <c r="B39" s="2"/>
      <c r="F39" s="2"/>
    </row>
    <row r="40" spans="1:16">
      <c r="B40" s="2"/>
      <c r="F40" s="2"/>
    </row>
    <row r="41" spans="1:16">
      <c r="B41" s="2"/>
      <c r="F41" s="2"/>
    </row>
    <row r="42" spans="1:16">
      <c r="B42" s="2"/>
      <c r="F42" s="2"/>
    </row>
    <row r="43" spans="1:16">
      <c r="B43" s="2"/>
      <c r="F43" s="2"/>
    </row>
    <row r="44" spans="1:16">
      <c r="B44" s="2"/>
      <c r="F44" s="2"/>
    </row>
    <row r="45" spans="1:16">
      <c r="B45" s="2"/>
      <c r="F45" s="2"/>
    </row>
    <row r="46" spans="1:16">
      <c r="B46" s="2"/>
      <c r="F46" s="2"/>
    </row>
    <row r="47" spans="1:16">
      <c r="B47" s="2"/>
      <c r="F47" s="2"/>
    </row>
    <row r="48" spans="1:1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</sheetData>
  <phoneticPr fontId="8" type="noConversion"/>
  <hyperlinks>
    <hyperlink ref="P29" r:id="rId1" display="http://www.konkoly.hu/cgi-bin/IBVS?5820"/>
    <hyperlink ref="P30" r:id="rId2" display="http://var.astro.cz/oejv/issues/oejv0137.pdf"/>
    <hyperlink ref="P31" r:id="rId3" display="http://var.astro.cz/oejv/issues/oejv0137.pdf"/>
    <hyperlink ref="P11" r:id="rId4" display="http://www.bav-astro.de/sfs/BAVM_link.php?BAVMnr=209"/>
    <hyperlink ref="P12" r:id="rId5" display="http://www.bav-astro.de/sfs/BAVM_link.php?BAVMnr=209"/>
    <hyperlink ref="P13" r:id="rId6" display="http://www.bav-astro.de/sfs/BAVM_link.php?BAVMnr=209"/>
    <hyperlink ref="P32" r:id="rId7" display="http://var.astro.cz/oejv/issues/oejv0137.pdf"/>
    <hyperlink ref="P14" r:id="rId8" display="http://www.bav-astro.de/sfs/BAVM_link.php?BAVMnr=214"/>
    <hyperlink ref="P15" r:id="rId9" display="http://www.bav-astro.de/sfs/BAVM_link.php?BAVMnr=214"/>
    <hyperlink ref="P33" r:id="rId10" display="http://var.astro.cz/oejv/issues/oejv0137.pdf"/>
    <hyperlink ref="P34" r:id="rId11" display="http://var.astro.cz/oejv/issues/oejv0137.pdf"/>
    <hyperlink ref="P35" r:id="rId12" display="http://var.astro.cz/oejv/issues/oejv0137.pdf"/>
    <hyperlink ref="P16" r:id="rId13" display="http://var.astro.cz/oejv/issues/oejv0160.pdf"/>
    <hyperlink ref="P17" r:id="rId14" display="http://www.bav-astro.de/sfs/BAVM_link.php?BAVMnr=220"/>
    <hyperlink ref="P18" r:id="rId15" display="http://www.bav-astro.de/sfs/BAVM_link.php?BAVMnr=220"/>
    <hyperlink ref="P19" r:id="rId16" display="http://var.astro.cz/oejv/issues/oejv0160.pdf"/>
    <hyperlink ref="P20" r:id="rId17" display="http://var.astro.cz/oejv/issues/oejv0160.pdf"/>
    <hyperlink ref="P21" r:id="rId18" display="http://www.bav-astro.de/sfs/BAVM_link.php?BAVMnr=220"/>
    <hyperlink ref="P22" r:id="rId19" display="http://var.astro.cz/oejv/issues/oejv0160.pdf"/>
    <hyperlink ref="P23" r:id="rId20" display="http://var.astro.cz/oejv/issues/oejv0160.pdf"/>
    <hyperlink ref="P24" r:id="rId21" display="http://www.bav-astro.de/sfs/BAVM_link.php?BAVMnr=228"/>
    <hyperlink ref="P25" r:id="rId22" display="http://www.bav-astro.de/sfs/BAVM_link.php?BAVMnr=228"/>
    <hyperlink ref="P26" r:id="rId23" display="http://var.astro.cz/oejv/issues/oejv0160.pdf"/>
    <hyperlink ref="P27" r:id="rId24" display="http://var.astro.cz/oejv/issues/oejv0160.pdf"/>
    <hyperlink ref="P28" r:id="rId25" display="http://var.astro.cz/oejv/issues/oejv0160.pdf"/>
    <hyperlink ref="P36" r:id="rId26" display="http://www.bav-astro.de/sfs/BAVM_link.php?BAVMnr=241"/>
    <hyperlink ref="P37" r:id="rId2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2024-01-30T02:28:10Z</dcterms:modified>
</cp:coreProperties>
</file>