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1499CDB-980F-4CBC-BD77-EA0E993B522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61" i="1" l="1"/>
  <c r="D9" i="1"/>
  <c r="C9" i="1"/>
  <c r="D11" i="1"/>
  <c r="W6" i="1" s="1"/>
  <c r="D12" i="1"/>
  <c r="P22" i="1" s="1"/>
  <c r="R22" i="1" s="1"/>
  <c r="T22" i="1" s="1"/>
  <c r="D13" i="1"/>
  <c r="W20" i="1"/>
  <c r="W3" i="1"/>
  <c r="W2" i="1"/>
  <c r="Q21" i="1"/>
  <c r="Q60" i="1"/>
  <c r="Q58" i="1"/>
  <c r="E59" i="1"/>
  <c r="F59" i="1"/>
  <c r="E56" i="1"/>
  <c r="F56" i="1"/>
  <c r="E30" i="1"/>
  <c r="F30" i="1"/>
  <c r="E32" i="1"/>
  <c r="F32" i="1"/>
  <c r="G32" i="1"/>
  <c r="I32" i="1"/>
  <c r="E33" i="1"/>
  <c r="F33" i="1"/>
  <c r="E38" i="1"/>
  <c r="F38" i="1"/>
  <c r="E40" i="1"/>
  <c r="F40" i="1"/>
  <c r="G40" i="1"/>
  <c r="J40" i="1"/>
  <c r="E41" i="1"/>
  <c r="F41" i="1"/>
  <c r="E43" i="1"/>
  <c r="F43" i="1"/>
  <c r="G43" i="1"/>
  <c r="K43" i="1"/>
  <c r="E45" i="1"/>
  <c r="F45" i="1"/>
  <c r="G45" i="1"/>
  <c r="K45" i="1"/>
  <c r="E46" i="1"/>
  <c r="F46" i="1"/>
  <c r="P46" i="1"/>
  <c r="R46" i="1" s="1"/>
  <c r="T46" i="1" s="1"/>
  <c r="E48" i="1"/>
  <c r="F48" i="1"/>
  <c r="G48" i="1"/>
  <c r="K48" i="1"/>
  <c r="E49" i="1"/>
  <c r="F49" i="1"/>
  <c r="E51" i="1"/>
  <c r="F51" i="1"/>
  <c r="P51" i="1"/>
  <c r="R51" i="1" s="1"/>
  <c r="T51" i="1" s="1"/>
  <c r="G51" i="1"/>
  <c r="J51" i="1"/>
  <c r="E53" i="1"/>
  <c r="F53" i="1"/>
  <c r="G53" i="1"/>
  <c r="K53" i="1"/>
  <c r="E54" i="1"/>
  <c r="F54" i="1"/>
  <c r="Q57" i="1"/>
  <c r="Q56" i="1"/>
  <c r="Q59" i="1"/>
  <c r="C7" i="1"/>
  <c r="E61" i="1"/>
  <c r="F61" i="1"/>
  <c r="C8" i="1"/>
  <c r="E26" i="1"/>
  <c r="F26" i="1"/>
  <c r="G26" i="1"/>
  <c r="K26" i="1"/>
  <c r="E27" i="1"/>
  <c r="F27" i="1"/>
  <c r="G27" i="1"/>
  <c r="K27" i="1"/>
  <c r="Q55" i="1"/>
  <c r="Q46" i="1"/>
  <c r="G11" i="2"/>
  <c r="C11" i="2"/>
  <c r="G31" i="2"/>
  <c r="C31" i="2"/>
  <c r="G30" i="2"/>
  <c r="C30" i="2"/>
  <c r="E30" i="2"/>
  <c r="G29" i="2"/>
  <c r="C29" i="2"/>
  <c r="G28" i="2"/>
  <c r="C28" i="2"/>
  <c r="E28" i="2"/>
  <c r="G27" i="2"/>
  <c r="C27" i="2"/>
  <c r="E27" i="2"/>
  <c r="G26" i="2"/>
  <c r="C26" i="2"/>
  <c r="G32" i="2"/>
  <c r="C32" i="2"/>
  <c r="E32" i="2"/>
  <c r="G25" i="2"/>
  <c r="C25" i="2"/>
  <c r="E25" i="2"/>
  <c r="G24" i="2"/>
  <c r="C24" i="2"/>
  <c r="G23" i="2"/>
  <c r="C23" i="2"/>
  <c r="E23" i="2"/>
  <c r="G22" i="2"/>
  <c r="C22" i="2"/>
  <c r="G21" i="2"/>
  <c r="C21" i="2"/>
  <c r="E21" i="2"/>
  <c r="G20" i="2"/>
  <c r="C20" i="2"/>
  <c r="E20" i="2"/>
  <c r="G19" i="2"/>
  <c r="C19" i="2"/>
  <c r="G18" i="2"/>
  <c r="C18" i="2"/>
  <c r="E18" i="2"/>
  <c r="G17" i="2"/>
  <c r="C17" i="2"/>
  <c r="G16" i="2"/>
  <c r="C16" i="2"/>
  <c r="G15" i="2"/>
  <c r="C15" i="2"/>
  <c r="G14" i="2"/>
  <c r="C14" i="2"/>
  <c r="G13" i="2"/>
  <c r="C13" i="2"/>
  <c r="E13" i="2"/>
  <c r="G12" i="2"/>
  <c r="C12" i="2"/>
  <c r="E12" i="2"/>
  <c r="H11" i="2"/>
  <c r="B11" i="2"/>
  <c r="D11" i="2"/>
  <c r="A11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32" i="2"/>
  <c r="B32" i="2"/>
  <c r="D32" i="2"/>
  <c r="A32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Q53" i="1"/>
  <c r="Q54" i="1"/>
  <c r="Q47" i="1"/>
  <c r="Q50" i="1"/>
  <c r="Q51" i="1"/>
  <c r="Q42" i="1"/>
  <c r="Q43" i="1"/>
  <c r="Q45" i="1"/>
  <c r="Q48" i="1"/>
  <c r="Q49" i="1"/>
  <c r="Q52" i="1"/>
  <c r="Q39" i="1"/>
  <c r="Q40" i="1"/>
  <c r="Q44" i="1"/>
  <c r="E21" i="1"/>
  <c r="F21" i="1"/>
  <c r="E22" i="1"/>
  <c r="F22" i="1"/>
  <c r="E23" i="1"/>
  <c r="F23" i="1"/>
  <c r="G23" i="1"/>
  <c r="K23" i="1"/>
  <c r="E24" i="1"/>
  <c r="F24" i="1"/>
  <c r="G24" i="1"/>
  <c r="K24" i="1"/>
  <c r="E25" i="1"/>
  <c r="F25" i="1"/>
  <c r="F16" i="1"/>
  <c r="F17" i="1" s="1"/>
  <c r="C17" i="1"/>
  <c r="G25" i="1"/>
  <c r="Q37" i="1"/>
  <c r="Q41" i="1"/>
  <c r="Q38" i="1"/>
  <c r="G21" i="1"/>
  <c r="K21" i="1"/>
  <c r="Q32" i="1"/>
  <c r="Q33" i="1"/>
  <c r="Q34" i="1"/>
  <c r="Q35" i="1"/>
  <c r="Q36" i="1"/>
  <c r="Q22" i="1"/>
  <c r="Q23" i="1"/>
  <c r="Q24" i="1"/>
  <c r="K25" i="1"/>
  <c r="Q25" i="1"/>
  <c r="Q26" i="1"/>
  <c r="Q27" i="1"/>
  <c r="Q29" i="1"/>
  <c r="Q30" i="1"/>
  <c r="Q31" i="1"/>
  <c r="Q28" i="1"/>
  <c r="G22" i="1"/>
  <c r="K22" i="1"/>
  <c r="P59" i="1"/>
  <c r="R59" i="1" s="1"/>
  <c r="T59" i="1" s="1"/>
  <c r="G59" i="1"/>
  <c r="K59" i="1"/>
  <c r="P53" i="1"/>
  <c r="R53" i="1" s="1"/>
  <c r="T53" i="1" s="1"/>
  <c r="P45" i="1"/>
  <c r="R45" i="1"/>
  <c r="T45" i="1" s="1"/>
  <c r="E35" i="1"/>
  <c r="F35" i="1"/>
  <c r="E58" i="1"/>
  <c r="F58" i="1"/>
  <c r="G58" i="1"/>
  <c r="K58" i="1"/>
  <c r="E60" i="1"/>
  <c r="F60" i="1"/>
  <c r="G60" i="1"/>
  <c r="K60" i="1"/>
  <c r="W21" i="1"/>
  <c r="W13" i="1"/>
  <c r="W5" i="1"/>
  <c r="P36" i="1"/>
  <c r="P27" i="1"/>
  <c r="R27" i="1" s="1"/>
  <c r="T27" i="1" s="1"/>
  <c r="E37" i="1"/>
  <c r="F37" i="1"/>
  <c r="P37" i="1"/>
  <c r="E29" i="1"/>
  <c r="F29" i="1"/>
  <c r="P29" i="1"/>
  <c r="R29" i="1" s="1"/>
  <c r="T29" i="1" s="1"/>
  <c r="W19" i="1"/>
  <c r="W11" i="1"/>
  <c r="P34" i="1"/>
  <c r="R34" i="1"/>
  <c r="T34" i="1" s="1"/>
  <c r="P26" i="1"/>
  <c r="R26" i="1"/>
  <c r="T26" i="1"/>
  <c r="E50" i="1"/>
  <c r="F50" i="1"/>
  <c r="G50" i="1"/>
  <c r="J50" i="1"/>
  <c r="E42" i="1"/>
  <c r="F42" i="1"/>
  <c r="G42" i="1"/>
  <c r="K42" i="1"/>
  <c r="E34" i="1"/>
  <c r="F34" i="1"/>
  <c r="G34" i="1"/>
  <c r="K34" i="1"/>
  <c r="E57" i="1"/>
  <c r="F57" i="1"/>
  <c r="G57" i="1"/>
  <c r="K57" i="1"/>
  <c r="W18" i="1"/>
  <c r="W10" i="1"/>
  <c r="P57" i="1"/>
  <c r="R57" i="1"/>
  <c r="T57" i="1" s="1"/>
  <c r="P49" i="1"/>
  <c r="R49" i="1"/>
  <c r="T49" i="1"/>
  <c r="P41" i="1"/>
  <c r="R41" i="1" s="1"/>
  <c r="T41" i="1" s="1"/>
  <c r="P33" i="1"/>
  <c r="P25" i="1"/>
  <c r="R25" i="1"/>
  <c r="T25" i="1" s="1"/>
  <c r="G61" i="1"/>
  <c r="K61" i="1"/>
  <c r="E55" i="1"/>
  <c r="F55" i="1"/>
  <c r="G55" i="1"/>
  <c r="J55" i="1"/>
  <c r="G49" i="1"/>
  <c r="K49" i="1"/>
  <c r="E47" i="1"/>
  <c r="F47" i="1"/>
  <c r="G47" i="1"/>
  <c r="J47" i="1"/>
  <c r="G41" i="1"/>
  <c r="K41" i="1"/>
  <c r="E39" i="1"/>
  <c r="F39" i="1"/>
  <c r="G39" i="1"/>
  <c r="J39" i="1"/>
  <c r="G33" i="1"/>
  <c r="K33" i="1"/>
  <c r="E31" i="1"/>
  <c r="F31" i="1"/>
  <c r="G31" i="1"/>
  <c r="K31" i="1"/>
  <c r="G56" i="1"/>
  <c r="K56" i="1"/>
  <c r="W17" i="1"/>
  <c r="W9" i="1"/>
  <c r="P56" i="1"/>
  <c r="R56" i="1" s="1"/>
  <c r="T56" i="1" s="1"/>
  <c r="P48" i="1"/>
  <c r="R48" i="1"/>
  <c r="T48" i="1"/>
  <c r="P40" i="1"/>
  <c r="R40" i="1" s="1"/>
  <c r="T40" i="1" s="1"/>
  <c r="P32" i="1"/>
  <c r="R32" i="1"/>
  <c r="T32" i="1" s="1"/>
  <c r="P24" i="1"/>
  <c r="R24" i="1"/>
  <c r="T24" i="1"/>
  <c r="P61" i="1"/>
  <c r="R61" i="1" s="1"/>
  <c r="T61" i="1" s="1"/>
  <c r="G54" i="1"/>
  <c r="K54" i="1"/>
  <c r="E52" i="1"/>
  <c r="F52" i="1"/>
  <c r="G52" i="1"/>
  <c r="K52" i="1"/>
  <c r="G46" i="1"/>
  <c r="E44" i="1"/>
  <c r="F44" i="1"/>
  <c r="P44" i="1"/>
  <c r="G38" i="1"/>
  <c r="K38" i="1"/>
  <c r="E36" i="1"/>
  <c r="F36" i="1"/>
  <c r="G36" i="1"/>
  <c r="J36" i="1"/>
  <c r="G30" i="1"/>
  <c r="K30" i="1"/>
  <c r="E28" i="1"/>
  <c r="F28" i="1"/>
  <c r="D16" i="1"/>
  <c r="D19" i="1" s="1"/>
  <c r="P21" i="1"/>
  <c r="R21" i="1" s="1"/>
  <c r="T21" i="1" s="1"/>
  <c r="W16" i="1"/>
  <c r="W8" i="1"/>
  <c r="P39" i="1"/>
  <c r="R39" i="1" s="1"/>
  <c r="T39" i="1" s="1"/>
  <c r="P31" i="1"/>
  <c r="E26" i="2"/>
  <c r="G44" i="1"/>
  <c r="J44" i="1"/>
  <c r="G29" i="1"/>
  <c r="K29" i="1"/>
  <c r="D15" i="1"/>
  <c r="C19" i="1" s="1"/>
  <c r="P52" i="1"/>
  <c r="R52" i="1" s="1"/>
  <c r="T52" i="1" s="1"/>
  <c r="G35" i="1"/>
  <c r="K35" i="1"/>
  <c r="P35" i="1"/>
  <c r="R35" i="1"/>
  <c r="T35" i="1"/>
  <c r="E16" i="2"/>
  <c r="R31" i="1"/>
  <c r="T31" i="1"/>
  <c r="P60" i="1"/>
  <c r="R60" i="1"/>
  <c r="T60" i="1"/>
  <c r="G37" i="1"/>
  <c r="J37" i="1"/>
  <c r="E11" i="2"/>
  <c r="E24" i="2"/>
  <c r="E22" i="2"/>
  <c r="E15" i="2"/>
  <c r="R36" i="1"/>
  <c r="T36" i="1"/>
  <c r="P47" i="1"/>
  <c r="R47" i="1" s="1"/>
  <c r="T47" i="1" s="1"/>
  <c r="R33" i="1"/>
  <c r="T33" i="1"/>
  <c r="G28" i="1"/>
  <c r="K28" i="1"/>
  <c r="E19" i="2"/>
  <c r="E29" i="2"/>
  <c r="E14" i="2"/>
  <c r="P55" i="1"/>
  <c r="R55" i="1" s="1"/>
  <c r="T55" i="1" s="1"/>
  <c r="P42" i="1"/>
  <c r="R42" i="1"/>
  <c r="T42" i="1" s="1"/>
  <c r="E17" i="2"/>
  <c r="P58" i="1"/>
  <c r="R58" i="1"/>
  <c r="T58" i="1"/>
  <c r="K46" i="1"/>
  <c r="P50" i="1"/>
  <c r="R50" i="1"/>
  <c r="T50" i="1" s="1"/>
  <c r="P28" i="1"/>
  <c r="R28" i="1"/>
  <c r="T28" i="1"/>
  <c r="E31" i="2"/>
  <c r="R44" i="1"/>
  <c r="T44" i="1"/>
  <c r="R37" i="1"/>
  <c r="T37" i="1"/>
  <c r="C11" i="1"/>
  <c r="C12" i="1"/>
  <c r="C16" i="1" l="1"/>
  <c r="D18" i="1" s="1"/>
  <c r="O52" i="1"/>
  <c r="O60" i="1"/>
  <c r="O30" i="1"/>
  <c r="O48" i="1"/>
  <c r="O47" i="1"/>
  <c r="C15" i="1"/>
  <c r="O53" i="1"/>
  <c r="O55" i="1"/>
  <c r="O22" i="1"/>
  <c r="O23" i="1"/>
  <c r="O42" i="1"/>
  <c r="O36" i="1"/>
  <c r="O26" i="1"/>
  <c r="O50" i="1"/>
  <c r="O45" i="1"/>
  <c r="O51" i="1"/>
  <c r="O33" i="1"/>
  <c r="O49" i="1"/>
  <c r="O54" i="1"/>
  <c r="O44" i="1"/>
  <c r="O29" i="1"/>
  <c r="O38" i="1"/>
  <c r="O43" i="1"/>
  <c r="O40" i="1"/>
  <c r="O32" i="1"/>
  <c r="O41" i="1"/>
  <c r="O61" i="1"/>
  <c r="O31" i="1"/>
  <c r="O27" i="1"/>
  <c r="O37" i="1"/>
  <c r="O46" i="1"/>
  <c r="O28" i="1"/>
  <c r="O56" i="1"/>
  <c r="O24" i="1"/>
  <c r="O58" i="1"/>
  <c r="O25" i="1"/>
  <c r="O57" i="1"/>
  <c r="O21" i="1"/>
  <c r="O39" i="1"/>
  <c r="O35" i="1"/>
  <c r="O59" i="1"/>
  <c r="O34" i="1"/>
  <c r="W4" i="1"/>
  <c r="W15" i="1"/>
  <c r="P23" i="1"/>
  <c r="R23" i="1" s="1"/>
  <c r="T23" i="1" s="1"/>
  <c r="E14" i="1" s="1"/>
  <c r="P43" i="1"/>
  <c r="R43" i="1" s="1"/>
  <c r="T43" i="1" s="1"/>
  <c r="W14" i="1"/>
  <c r="P54" i="1"/>
  <c r="R54" i="1" s="1"/>
  <c r="T54" i="1" s="1"/>
  <c r="P38" i="1"/>
  <c r="R38" i="1" s="1"/>
  <c r="T38" i="1" s="1"/>
  <c r="W12" i="1"/>
  <c r="P30" i="1"/>
  <c r="R30" i="1" s="1"/>
  <c r="T30" i="1" s="1"/>
  <c r="W7" i="1"/>
  <c r="C18" i="1" l="1"/>
  <c r="F18" i="1"/>
  <c r="F19" i="1" s="1"/>
</calcChain>
</file>

<file path=xl/sharedStrings.xml><?xml version="1.0" encoding="utf-8"?>
<sst xmlns="http://schemas.openxmlformats.org/spreadsheetml/2006/main" count="335" uniqueCount="185">
  <si>
    <t>VSB-66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</si>
  <si>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</si>
  <si>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</si>
  <si>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</si>
  <si>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</si>
  <si>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</si>
  <si>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</si>
  <si>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IBVS 6196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</si>
  <si>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</si>
  <si>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</si>
  <si>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</si>
  <si>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</si>
  <si>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</si>
  <si>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</si>
  <si>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</si>
  <si>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</si>
  <si>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</si>
  <si>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</si>
  <si>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</si>
  <si>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</si>
  <si>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</si>
  <si>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</si>
  <si>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</si>
  <si>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</si>
  <si>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</si>
  <si>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</si>
  <si>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</si>
  <si>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</si>
  <si>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</si>
  <si>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</si>
  <si>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</si>
  <si>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</si>
  <si>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</si>
  <si>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</si>
  <si>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</si>
  <si>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</si>
  <si>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</si>
  <si>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</si>
  <si>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</si>
  <si>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MR Com / GSC 1996-0437</t>
  </si>
  <si>
    <t>IBVS 5269 Eph.</t>
  </si>
  <si>
    <t>IBVS 5269</t>
  </si>
  <si>
    <t>I</t>
  </si>
  <si>
    <t>II</t>
  </si>
  <si>
    <t>IBVS 5438</t>
  </si>
  <si>
    <t>IBVS 5713</t>
  </si>
  <si>
    <t>IBVS 5543</t>
  </si>
  <si>
    <t>IBVS 5653</t>
  </si>
  <si>
    <t>EW</t>
  </si>
  <si>
    <t>IBVS 5781</t>
  </si>
  <si>
    <t>IBVS 5874</t>
  </si>
  <si>
    <t>IBVS 5894</t>
  </si>
  <si>
    <t>Add cycle</t>
  </si>
  <si>
    <t>Old Cycle</t>
  </si>
  <si>
    <t>New Cycle</t>
  </si>
  <si>
    <t>IBVS 5918</t>
  </si>
  <si>
    <t>IBVS 6010</t>
  </si>
  <si>
    <t>OEJV 0160</t>
  </si>
  <si>
    <t>IBVS 6048</t>
  </si>
  <si>
    <t>IBVS 6118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</si>
  <si>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</si>
  <si>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</si>
  <si>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</si>
  <si>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</si>
  <si>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</si>
  <si>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</si>
  <si>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</si>
  <si>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</si>
  <si>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</si>
  <si>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</si>
  <si>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</si>
  <si>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</si>
  <si>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</si>
  <si>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IBVS 6157</t>
  </si>
  <si>
    <t>2452691.493 </t>
  </si>
  <si>
    <t> 20.02.2003 23:49 </t>
  </si>
  <si>
    <t> -0.007 </t>
  </si>
  <si>
    <t>C </t>
  </si>
  <si>
    <t>ns</t>
  </si>
  <si>
    <t> E.Blättler </t>
  </si>
  <si>
    <t>IBVS 5438 </t>
  </si>
  <si>
    <t>2453068.331 </t>
  </si>
  <si>
    <t> 03.03.2004 19:56 </t>
  </si>
  <si>
    <t> -0.009 </t>
  </si>
  <si>
    <t>IBVS 5543 </t>
  </si>
  <si>
    <t>2453068.5366 </t>
  </si>
  <si>
    <t> 04.03.2004 00:52 </t>
  </si>
  <si>
    <t> -0.0095 </t>
  </si>
  <si>
    <t>2453463.325 </t>
  </si>
  <si>
    <t> 02.04.2005 19:48 </t>
  </si>
  <si>
    <t> -0.016 </t>
  </si>
  <si>
    <t>IBVS 5653 </t>
  </si>
  <si>
    <t>2453788.5676 </t>
  </si>
  <si>
    <t> 22.02.2006 01:37 </t>
  </si>
  <si>
    <t> -0.0191 </t>
  </si>
  <si>
    <t>E </t>
  </si>
  <si>
    <t>IBVS 5713 </t>
  </si>
  <si>
    <t>2454148.4794 </t>
  </si>
  <si>
    <t> 16.02.2007 23:30 </t>
  </si>
  <si>
    <t> -0.0244 </t>
  </si>
  <si>
    <t>-I</t>
  </si>
  <si>
    <t> K.&amp; M.Rätz </t>
  </si>
  <si>
    <t>BAVM 201 </t>
  </si>
  <si>
    <t>2454172.4182 </t>
  </si>
  <si>
    <t> 12.03.2007 22:02 </t>
  </si>
  <si>
    <t>4516</t>
  </si>
  <si>
    <t> -0.0251 </t>
  </si>
  <si>
    <t>IBVS 5781 </t>
  </si>
  <si>
    <t>2454512.5209 </t>
  </si>
  <si>
    <t> 16.02.2008 00:30 </t>
  </si>
  <si>
    <t>5340</t>
  </si>
  <si>
    <t> -0.0276 </t>
  </si>
  <si>
    <t>BAVM 209 </t>
  </si>
  <si>
    <t>2454908.5487 </t>
  </si>
  <si>
    <t> 18.03.2009 01:10 </t>
  </si>
  <si>
    <t>6299.5</t>
  </si>
  <si>
    <t> -0.0324 </t>
  </si>
  <si>
    <t> F.Agerer </t>
  </si>
  <si>
    <t>2455000.387 </t>
  </si>
  <si>
    <t> 17.06.2009 21:17 </t>
  </si>
  <si>
    <t>6522</t>
  </si>
  <si>
    <t> -0.031 </t>
  </si>
  <si>
    <t>IBVS 5894 </t>
  </si>
  <si>
    <t>2455615.57821 </t>
  </si>
  <si>
    <t> 23.02.2011 01:52 </t>
  </si>
  <si>
    <t>8012.5</t>
  </si>
  <si>
    <t> -0.04195 </t>
  </si>
  <si>
    <t>R</t>
  </si>
  <si>
    <t> M.Lehky </t>
  </si>
  <si>
    <t>OEJV 0160 </t>
  </si>
  <si>
    <t>2455616.60842 </t>
  </si>
  <si>
    <t> 24.02.2011 02:36 </t>
  </si>
  <si>
    <t>8015</t>
  </si>
  <si>
    <t> -0.04361 </t>
  </si>
  <si>
    <t>2455624.4517 </t>
  </si>
  <si>
    <t> 03.03.2011 22:50 </t>
  </si>
  <si>
    <t>8034</t>
  </si>
  <si>
    <t> -0.0426 </t>
  </si>
  <si>
    <t>BAVM 220 </t>
  </si>
  <si>
    <t>2455625.4838 </t>
  </si>
  <si>
    <t> 04.03.2011 23:36 </t>
  </si>
  <si>
    <t>8036.5</t>
  </si>
  <si>
    <t> -0.0423 </t>
  </si>
  <si>
    <t> T.Smy?ka </t>
  </si>
  <si>
    <t>2455673.3606 </t>
  </si>
  <si>
    <t> 21.04.2011 20:39 </t>
  </si>
  <si>
    <t>8152.5</t>
  </si>
  <si>
    <t> -0.0444 </t>
  </si>
  <si>
    <t> M.&amp; K.Rätz </t>
  </si>
  <si>
    <t>BAVM 225 </t>
  </si>
  <si>
    <t>2455942.6757 </t>
  </si>
  <si>
    <t> 16.01.2012 04:13 </t>
  </si>
  <si>
    <t>8805</t>
  </si>
  <si>
    <t> -0.0480 </t>
  </si>
  <si>
    <t>o</t>
  </si>
  <si>
    <t> W.Moschner &amp; P.Frank </t>
  </si>
  <si>
    <t>BAVM 234 </t>
  </si>
  <si>
    <t>2455969.50429 </t>
  </si>
  <si>
    <t> 12.02.2012 00:06 </t>
  </si>
  <si>
    <t>8870</t>
  </si>
  <si>
    <t> -0.04814 </t>
  </si>
  <si>
    <t>2455984.56933 </t>
  </si>
  <si>
    <t> 27.02.2012 01:39 </t>
  </si>
  <si>
    <t>8906.5</t>
  </si>
  <si>
    <t> -0.04844 </t>
  </si>
  <si>
    <t>2456008.5083 </t>
  </si>
  <si>
    <t> 22.03.2012 00:11 </t>
  </si>
  <si>
    <t>8964.5</t>
  </si>
  <si>
    <t> -0.0489 </t>
  </si>
  <si>
    <t>BAVM 228 </t>
  </si>
  <si>
    <t>2456010.3655 </t>
  </si>
  <si>
    <t> 23.03.2012 20:46 </t>
  </si>
  <si>
    <t>8969</t>
  </si>
  <si>
    <t> -0.0491 </t>
  </si>
  <si>
    <t>2456404.32275 </t>
  </si>
  <si>
    <t> 21.04.2013 19:44 </t>
  </si>
  <si>
    <t>9923.5</t>
  </si>
  <si>
    <t> -0.06075 </t>
  </si>
  <si>
    <t>2456712.4387 </t>
  </si>
  <si>
    <t> 23.02.2014 22:31 </t>
  </si>
  <si>
    <t>10670</t>
  </si>
  <si>
    <t> -0.0619 </t>
  </si>
  <si>
    <t>BAVM 241 (=IBVS 6157) 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</si>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</sst>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15" fillId="0" borderId="0" xfId="0" applyFont="1" applyAlignment="1"/>
    <xf numFmtId="0" fontId="1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11" fontId="0" fillId="0" borderId="0" xfId="0" applyNumberFormat="1" applyAlignment="1"/>
    <xf numFmtId="0" fontId="37" fillId="0" borderId="18" xfId="0" applyFont="1" applyBorder="1" applyAlignment="1"/>
    <xf numFmtId="0" fontId="37" fillId="0" borderId="19" xfId="0" applyFont="1" applyBorder="1" applyAlignment="1"/>
    <xf numFmtId="0" fontId="37" fillId="0" borderId="20" xfId="0" applyFont="1" applyBorder="1" applyAlignment="1"/>
    <xf numFmtId="0" fontId="0" fillId="0" borderId="21" xfId="0" applyBorder="1" applyAlignment="1"/>
    <xf numFmtId="0" fontId="0" fillId="0" borderId="22" xfId="0" applyBorder="1" applyAlignment="1"/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9" fillId="0" borderId="8" xfId="0" applyFont="1" applyFill="1" applyBorder="1" applyAlignment="1">
      <alignment horizontal="center"/>
    </xf>
    <xf numFmtId="0" fontId="14" fillId="0" borderId="0" xfId="0" applyFont="1" applyAlignment="1"/>
    <xf numFmtId="14" fontId="26" fillId="0" borderId="0" xfId="0" applyNumberFormat="1" applyFont="1" applyAlignment="1"/>
    <xf numFmtId="0" fontId="26" fillId="0" borderId="0" xfId="0" applyFont="1" applyAlignment="1"/>
    <xf numFmtId="0" fontId="40" fillId="0" borderId="0" xfId="0" applyFont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Com - O-C Diagr.</a:t>
            </a:r>
          </a:p>
        </c:rich>
      </c:tx>
      <c:layout>
        <c:manualLayout>
          <c:xMode val="edge"/>
          <c:yMode val="edge"/>
          <c:x val="0.3789473684210526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8496240601504"/>
          <c:y val="0.14035127795846455"/>
          <c:w val="0.7593984962406015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1.5E-3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3.3999999999999998E-3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3.0000000000000001E-3</c:v>
                  </c:pt>
                  <c:pt idx="12">
                    <c:v>7.0000000000000001E-3</c:v>
                  </c:pt>
                  <c:pt idx="13">
                    <c:v>1.1000000000000001E-3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3.0000000000000001E-3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1.4E-3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1.6999999999999999E-3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4.6000000000000001E-4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2.0000000000000001E-4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1.5E-3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3.3999999999999998E-3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3.0000000000000001E-3</c:v>
                  </c:pt>
                  <c:pt idx="12">
                    <c:v>7.0000000000000001E-3</c:v>
                  </c:pt>
                  <c:pt idx="13">
                    <c:v>1.1000000000000001E-3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3.0000000000000001E-3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1.4E-3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1.6999999999999999E-3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4.6000000000000001E-4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-2504.5</c:v>
                </c:pt>
                <c:pt idx="1">
                  <c:v>-2427</c:v>
                </c:pt>
                <c:pt idx="2">
                  <c:v>-55.5</c:v>
                </c:pt>
                <c:pt idx="3">
                  <c:v>-50.5</c:v>
                </c:pt>
                <c:pt idx="4">
                  <c:v>-29</c:v>
                </c:pt>
                <c:pt idx="5">
                  <c:v>-28.5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87</c:v>
                </c:pt>
                <c:pt idx="10">
                  <c:v>87.5</c:v>
                </c:pt>
                <c:pt idx="11">
                  <c:v>928</c:v>
                </c:pt>
                <c:pt idx="12">
                  <c:v>1841</c:v>
                </c:pt>
                <c:pt idx="13">
                  <c:v>1841.5</c:v>
                </c:pt>
                <c:pt idx="14">
                  <c:v>2798</c:v>
                </c:pt>
                <c:pt idx="15">
                  <c:v>3586</c:v>
                </c:pt>
                <c:pt idx="16">
                  <c:v>4458</c:v>
                </c:pt>
                <c:pt idx="17">
                  <c:v>4516</c:v>
                </c:pt>
                <c:pt idx="18">
                  <c:v>5340</c:v>
                </c:pt>
                <c:pt idx="19">
                  <c:v>6299.5</c:v>
                </c:pt>
                <c:pt idx="20">
                  <c:v>6522</c:v>
                </c:pt>
                <c:pt idx="21">
                  <c:v>8012.5</c:v>
                </c:pt>
                <c:pt idx="22">
                  <c:v>8015</c:v>
                </c:pt>
                <c:pt idx="23">
                  <c:v>8034</c:v>
                </c:pt>
                <c:pt idx="24">
                  <c:v>8036.5</c:v>
                </c:pt>
                <c:pt idx="25">
                  <c:v>8152.5</c:v>
                </c:pt>
                <c:pt idx="26">
                  <c:v>8805</c:v>
                </c:pt>
                <c:pt idx="27">
                  <c:v>8870</c:v>
                </c:pt>
                <c:pt idx="28">
                  <c:v>8906.5</c:v>
                </c:pt>
                <c:pt idx="29">
                  <c:v>8964.5</c:v>
                </c:pt>
                <c:pt idx="30">
                  <c:v>8969</c:v>
                </c:pt>
                <c:pt idx="31">
                  <c:v>9923.5</c:v>
                </c:pt>
                <c:pt idx="32">
                  <c:v>9923.5</c:v>
                </c:pt>
                <c:pt idx="33">
                  <c:v>10643.5</c:v>
                </c:pt>
                <c:pt idx="34">
                  <c:v>10670</c:v>
                </c:pt>
                <c:pt idx="35">
                  <c:v>11665.5</c:v>
                </c:pt>
                <c:pt idx="36">
                  <c:v>11714</c:v>
                </c:pt>
                <c:pt idx="37">
                  <c:v>12492</c:v>
                </c:pt>
                <c:pt idx="38">
                  <c:v>12494.5</c:v>
                </c:pt>
                <c:pt idx="39">
                  <c:v>14250</c:v>
                </c:pt>
                <c:pt idx="40">
                  <c:v>13195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53-4AE4-B09C-6E8F6397F3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1.5E-3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3.3999999999999998E-3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3.0000000000000001E-3</c:v>
                  </c:pt>
                  <c:pt idx="12">
                    <c:v>7.0000000000000001E-3</c:v>
                  </c:pt>
                  <c:pt idx="13">
                    <c:v>1.1000000000000001E-3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3.0000000000000001E-3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1.4E-3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1.6999999999999999E-3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4.6000000000000001E-4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1.5E-3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3.3999999999999998E-3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3.0000000000000001E-3</c:v>
                  </c:pt>
                  <c:pt idx="12">
                    <c:v>7.0000000000000001E-3</c:v>
                  </c:pt>
                  <c:pt idx="13">
                    <c:v>1.1000000000000001E-3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3.0000000000000001E-3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1.4E-3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1.6999999999999999E-3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4.6000000000000001E-4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-2504.5</c:v>
                </c:pt>
                <c:pt idx="1">
                  <c:v>-2427</c:v>
                </c:pt>
                <c:pt idx="2">
                  <c:v>-55.5</c:v>
                </c:pt>
                <c:pt idx="3">
                  <c:v>-50.5</c:v>
                </c:pt>
                <c:pt idx="4">
                  <c:v>-29</c:v>
                </c:pt>
                <c:pt idx="5">
                  <c:v>-28.5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87</c:v>
                </c:pt>
                <c:pt idx="10">
                  <c:v>87.5</c:v>
                </c:pt>
                <c:pt idx="11">
                  <c:v>928</c:v>
                </c:pt>
                <c:pt idx="12">
                  <c:v>1841</c:v>
                </c:pt>
                <c:pt idx="13">
                  <c:v>1841.5</c:v>
                </c:pt>
                <c:pt idx="14">
                  <c:v>2798</c:v>
                </c:pt>
                <c:pt idx="15">
                  <c:v>3586</c:v>
                </c:pt>
                <c:pt idx="16">
                  <c:v>4458</c:v>
                </c:pt>
                <c:pt idx="17">
                  <c:v>4516</c:v>
                </c:pt>
                <c:pt idx="18">
                  <c:v>5340</c:v>
                </c:pt>
                <c:pt idx="19">
                  <c:v>6299.5</c:v>
                </c:pt>
                <c:pt idx="20">
                  <c:v>6522</c:v>
                </c:pt>
                <c:pt idx="21">
                  <c:v>8012.5</c:v>
                </c:pt>
                <c:pt idx="22">
                  <c:v>8015</c:v>
                </c:pt>
                <c:pt idx="23">
                  <c:v>8034</c:v>
                </c:pt>
                <c:pt idx="24">
                  <c:v>8036.5</c:v>
                </c:pt>
                <c:pt idx="25">
                  <c:v>8152.5</c:v>
                </c:pt>
                <c:pt idx="26">
                  <c:v>8805</c:v>
                </c:pt>
                <c:pt idx="27">
                  <c:v>8870</c:v>
                </c:pt>
                <c:pt idx="28">
                  <c:v>8906.5</c:v>
                </c:pt>
                <c:pt idx="29">
                  <c:v>8964.5</c:v>
                </c:pt>
                <c:pt idx="30">
                  <c:v>8969</c:v>
                </c:pt>
                <c:pt idx="31">
                  <c:v>9923.5</c:v>
                </c:pt>
                <c:pt idx="32">
                  <c:v>9923.5</c:v>
                </c:pt>
                <c:pt idx="33">
                  <c:v>10643.5</c:v>
                </c:pt>
                <c:pt idx="34">
                  <c:v>10670</c:v>
                </c:pt>
                <c:pt idx="35">
                  <c:v>11665.5</c:v>
                </c:pt>
                <c:pt idx="36">
                  <c:v>11714</c:v>
                </c:pt>
                <c:pt idx="37">
                  <c:v>12492</c:v>
                </c:pt>
                <c:pt idx="38">
                  <c:v>12494.5</c:v>
                </c:pt>
                <c:pt idx="39">
                  <c:v>14250</c:v>
                </c:pt>
                <c:pt idx="40">
                  <c:v>13195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1">
                  <c:v>-6.8719999981112778E-3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53-4AE4-B09C-6E8F6397F3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1.5E-3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3.3999999999999998E-3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3.0000000000000001E-3</c:v>
                  </c:pt>
                  <c:pt idx="12">
                    <c:v>7.0000000000000001E-3</c:v>
                  </c:pt>
                  <c:pt idx="13">
                    <c:v>1.1000000000000001E-3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3.0000000000000001E-3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1.4E-3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1.6999999999999999E-3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4.6000000000000001E-4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1.5E-3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3.3999999999999998E-3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3.0000000000000001E-3</c:v>
                  </c:pt>
                  <c:pt idx="12">
                    <c:v>7.0000000000000001E-3</c:v>
                  </c:pt>
                  <c:pt idx="13">
                    <c:v>1.1000000000000001E-3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3.0000000000000001E-3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1.4E-3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1.6999999999999999E-3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4.6000000000000001E-4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-2504.5</c:v>
                </c:pt>
                <c:pt idx="1">
                  <c:v>-2427</c:v>
                </c:pt>
                <c:pt idx="2">
                  <c:v>-55.5</c:v>
                </c:pt>
                <c:pt idx="3">
                  <c:v>-50.5</c:v>
                </c:pt>
                <c:pt idx="4">
                  <c:v>-29</c:v>
                </c:pt>
                <c:pt idx="5">
                  <c:v>-28.5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87</c:v>
                </c:pt>
                <c:pt idx="10">
                  <c:v>87.5</c:v>
                </c:pt>
                <c:pt idx="11">
                  <c:v>928</c:v>
                </c:pt>
                <c:pt idx="12">
                  <c:v>1841</c:v>
                </c:pt>
                <c:pt idx="13">
                  <c:v>1841.5</c:v>
                </c:pt>
                <c:pt idx="14">
                  <c:v>2798</c:v>
                </c:pt>
                <c:pt idx="15">
                  <c:v>3586</c:v>
                </c:pt>
                <c:pt idx="16">
                  <c:v>4458</c:v>
                </c:pt>
                <c:pt idx="17">
                  <c:v>4516</c:v>
                </c:pt>
                <c:pt idx="18">
                  <c:v>5340</c:v>
                </c:pt>
                <c:pt idx="19">
                  <c:v>6299.5</c:v>
                </c:pt>
                <c:pt idx="20">
                  <c:v>6522</c:v>
                </c:pt>
                <c:pt idx="21">
                  <c:v>8012.5</c:v>
                </c:pt>
                <c:pt idx="22">
                  <c:v>8015</c:v>
                </c:pt>
                <c:pt idx="23">
                  <c:v>8034</c:v>
                </c:pt>
                <c:pt idx="24">
                  <c:v>8036.5</c:v>
                </c:pt>
                <c:pt idx="25">
                  <c:v>8152.5</c:v>
                </c:pt>
                <c:pt idx="26">
                  <c:v>8805</c:v>
                </c:pt>
                <c:pt idx="27">
                  <c:v>8870</c:v>
                </c:pt>
                <c:pt idx="28">
                  <c:v>8906.5</c:v>
                </c:pt>
                <c:pt idx="29">
                  <c:v>8964.5</c:v>
                </c:pt>
                <c:pt idx="30">
                  <c:v>8969</c:v>
                </c:pt>
                <c:pt idx="31">
                  <c:v>9923.5</c:v>
                </c:pt>
                <c:pt idx="32">
                  <c:v>9923.5</c:v>
                </c:pt>
                <c:pt idx="33">
                  <c:v>10643.5</c:v>
                </c:pt>
                <c:pt idx="34">
                  <c:v>10670</c:v>
                </c:pt>
                <c:pt idx="35">
                  <c:v>11665.5</c:v>
                </c:pt>
                <c:pt idx="36">
                  <c:v>11714</c:v>
                </c:pt>
                <c:pt idx="37">
                  <c:v>12492</c:v>
                </c:pt>
                <c:pt idx="38">
                  <c:v>12494.5</c:v>
                </c:pt>
                <c:pt idx="39">
                  <c:v>14250</c:v>
                </c:pt>
                <c:pt idx="40">
                  <c:v>13195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5">
                  <c:v>-1.9114000002446119E-2</c:v>
                </c:pt>
                <c:pt idx="16">
                  <c:v>-2.4442000009003095E-2</c:v>
                </c:pt>
                <c:pt idx="18">
                  <c:v>-2.756000000226777E-2</c:v>
                </c:pt>
                <c:pt idx="19">
                  <c:v>-3.2425500001409091E-2</c:v>
                </c:pt>
                <c:pt idx="23">
                  <c:v>-4.2566000003716908E-2</c:v>
                </c:pt>
                <c:pt idx="26">
                  <c:v>-4.8045000003185123E-2</c:v>
                </c:pt>
                <c:pt idx="29">
                  <c:v>-4.8910500001511537E-2</c:v>
                </c:pt>
                <c:pt idx="30">
                  <c:v>-4.9081000004662201E-2</c:v>
                </c:pt>
                <c:pt idx="34">
                  <c:v>-6.1930000003485475E-2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53-4AE4-B09C-6E8F6397F3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1.5E-3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3.3999999999999998E-3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3.0000000000000001E-3</c:v>
                  </c:pt>
                  <c:pt idx="12">
                    <c:v>7.0000000000000001E-3</c:v>
                  </c:pt>
                  <c:pt idx="13">
                    <c:v>1.1000000000000001E-3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3.0000000000000001E-3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1.4E-3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1.6999999999999999E-3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4.6000000000000001E-4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1.5E-3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3.3999999999999998E-3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3.0000000000000001E-3</c:v>
                  </c:pt>
                  <c:pt idx="12">
                    <c:v>7.0000000000000001E-3</c:v>
                  </c:pt>
                  <c:pt idx="13">
                    <c:v>1.1000000000000001E-3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3.0000000000000001E-3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1.4E-3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1.6999999999999999E-3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4.6000000000000001E-4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-2504.5</c:v>
                </c:pt>
                <c:pt idx="1">
                  <c:v>-2427</c:v>
                </c:pt>
                <c:pt idx="2">
                  <c:v>-55.5</c:v>
                </c:pt>
                <c:pt idx="3">
                  <c:v>-50.5</c:v>
                </c:pt>
                <c:pt idx="4">
                  <c:v>-29</c:v>
                </c:pt>
                <c:pt idx="5">
                  <c:v>-28.5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87</c:v>
                </c:pt>
                <c:pt idx="10">
                  <c:v>87.5</c:v>
                </c:pt>
                <c:pt idx="11">
                  <c:v>928</c:v>
                </c:pt>
                <c:pt idx="12">
                  <c:v>1841</c:v>
                </c:pt>
                <c:pt idx="13">
                  <c:v>1841.5</c:v>
                </c:pt>
                <c:pt idx="14">
                  <c:v>2798</c:v>
                </c:pt>
                <c:pt idx="15">
                  <c:v>3586</c:v>
                </c:pt>
                <c:pt idx="16">
                  <c:v>4458</c:v>
                </c:pt>
                <c:pt idx="17">
                  <c:v>4516</c:v>
                </c:pt>
                <c:pt idx="18">
                  <c:v>5340</c:v>
                </c:pt>
                <c:pt idx="19">
                  <c:v>6299.5</c:v>
                </c:pt>
                <c:pt idx="20">
                  <c:v>6522</c:v>
                </c:pt>
                <c:pt idx="21">
                  <c:v>8012.5</c:v>
                </c:pt>
                <c:pt idx="22">
                  <c:v>8015</c:v>
                </c:pt>
                <c:pt idx="23">
                  <c:v>8034</c:v>
                </c:pt>
                <c:pt idx="24">
                  <c:v>8036.5</c:v>
                </c:pt>
                <c:pt idx="25">
                  <c:v>8152.5</c:v>
                </c:pt>
                <c:pt idx="26">
                  <c:v>8805</c:v>
                </c:pt>
                <c:pt idx="27">
                  <c:v>8870</c:v>
                </c:pt>
                <c:pt idx="28">
                  <c:v>8906.5</c:v>
                </c:pt>
                <c:pt idx="29">
                  <c:v>8964.5</c:v>
                </c:pt>
                <c:pt idx="30">
                  <c:v>8969</c:v>
                </c:pt>
                <c:pt idx="31">
                  <c:v>9923.5</c:v>
                </c:pt>
                <c:pt idx="32">
                  <c:v>9923.5</c:v>
                </c:pt>
                <c:pt idx="33">
                  <c:v>10643.5</c:v>
                </c:pt>
                <c:pt idx="34">
                  <c:v>10670</c:v>
                </c:pt>
                <c:pt idx="35">
                  <c:v>11665.5</c:v>
                </c:pt>
                <c:pt idx="36">
                  <c:v>11714</c:v>
                </c:pt>
                <c:pt idx="37">
                  <c:v>12492</c:v>
                </c:pt>
                <c:pt idx="38">
                  <c:v>12494.5</c:v>
                </c:pt>
                <c:pt idx="39">
                  <c:v>14250</c:v>
                </c:pt>
                <c:pt idx="40">
                  <c:v>13195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-1.2950000382261351E-4</c:v>
                </c:pt>
                <c:pt idx="1">
                  <c:v>2.1229999911156483E-3</c:v>
                </c:pt>
                <c:pt idx="2">
                  <c:v>4.6949999523349106E-4</c:v>
                </c:pt>
                <c:pt idx="3">
                  <c:v>-1.7550000484334305E-4</c:v>
                </c:pt>
                <c:pt idx="4">
                  <c:v>-1.8790000031003729E-3</c:v>
                </c:pt>
                <c:pt idx="5">
                  <c:v>-1.5534999984083697E-3</c:v>
                </c:pt>
                <c:pt idx="6">
                  <c:v>-8.9999999909196049E-4</c:v>
                </c:pt>
                <c:pt idx="7">
                  <c:v>0</c:v>
                </c:pt>
                <c:pt idx="8">
                  <c:v>1.4254999987315387E-3</c:v>
                </c:pt>
                <c:pt idx="9">
                  <c:v>-3.6299999919719994E-4</c:v>
                </c:pt>
                <c:pt idx="10">
                  <c:v>2.8624999977182597E-3</c:v>
                </c:pt>
                <c:pt idx="12">
                  <c:v>-8.7090000015450642E-3</c:v>
                </c:pt>
                <c:pt idx="13">
                  <c:v>-9.4835000054445118E-3</c:v>
                </c:pt>
                <c:pt idx="14">
                  <c:v>-1.5502000002015848E-2</c:v>
                </c:pt>
                <c:pt idx="17">
                  <c:v>-2.5084000000788365E-2</c:v>
                </c:pt>
                <c:pt idx="20">
                  <c:v>-3.0778000000282191E-2</c:v>
                </c:pt>
                <c:pt idx="21">
                  <c:v>-4.1952500003390014E-2</c:v>
                </c:pt>
                <c:pt idx="22">
                  <c:v>-4.3615000002318993E-2</c:v>
                </c:pt>
                <c:pt idx="24">
                  <c:v>-4.2338500003097579E-2</c:v>
                </c:pt>
                <c:pt idx="25">
                  <c:v>-4.4422500002838206E-2</c:v>
                </c:pt>
                <c:pt idx="27">
                  <c:v>-4.814000000624219E-2</c:v>
                </c:pt>
                <c:pt idx="28">
                  <c:v>-4.8438500001793727E-2</c:v>
                </c:pt>
                <c:pt idx="31">
                  <c:v>-6.0751500001060776E-2</c:v>
                </c:pt>
                <c:pt idx="32">
                  <c:v>-5.3171500003372785E-2</c:v>
                </c:pt>
                <c:pt idx="33">
                  <c:v>-6.0371500003384426E-2</c:v>
                </c:pt>
                <c:pt idx="35">
                  <c:v>-6.4179500004684087E-2</c:v>
                </c:pt>
                <c:pt idx="36">
                  <c:v>-6.9486000000324566E-2</c:v>
                </c:pt>
                <c:pt idx="37">
                  <c:v>-7.5228000001516193E-2</c:v>
                </c:pt>
                <c:pt idx="38">
                  <c:v>-7.5580500000796746E-2</c:v>
                </c:pt>
                <c:pt idx="39">
                  <c:v>-9.4250000176543836E-2</c:v>
                </c:pt>
                <c:pt idx="40">
                  <c:v>-8.1144999850948807E-2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53-4AE4-B09C-6E8F6397F3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1.5E-3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3.3999999999999998E-3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3.0000000000000001E-3</c:v>
                  </c:pt>
                  <c:pt idx="12">
                    <c:v>7.0000000000000001E-3</c:v>
                  </c:pt>
                  <c:pt idx="13">
                    <c:v>1.1000000000000001E-3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3.0000000000000001E-3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1.4E-3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1.6999999999999999E-3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4.6000000000000001E-4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1.5E-3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3.3999999999999998E-3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3.0000000000000001E-3</c:v>
                  </c:pt>
                  <c:pt idx="12">
                    <c:v>7.0000000000000001E-3</c:v>
                  </c:pt>
                  <c:pt idx="13">
                    <c:v>1.1000000000000001E-3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3.0000000000000001E-3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1.4E-3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1.6999999999999999E-3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4.6000000000000001E-4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-2504.5</c:v>
                </c:pt>
                <c:pt idx="1">
                  <c:v>-2427</c:v>
                </c:pt>
                <c:pt idx="2">
                  <c:v>-55.5</c:v>
                </c:pt>
                <c:pt idx="3">
                  <c:v>-50.5</c:v>
                </c:pt>
                <c:pt idx="4">
                  <c:v>-29</c:v>
                </c:pt>
                <c:pt idx="5">
                  <c:v>-28.5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87</c:v>
                </c:pt>
                <c:pt idx="10">
                  <c:v>87.5</c:v>
                </c:pt>
                <c:pt idx="11">
                  <c:v>928</c:v>
                </c:pt>
                <c:pt idx="12">
                  <c:v>1841</c:v>
                </c:pt>
                <c:pt idx="13">
                  <c:v>1841.5</c:v>
                </c:pt>
                <c:pt idx="14">
                  <c:v>2798</c:v>
                </c:pt>
                <c:pt idx="15">
                  <c:v>3586</c:v>
                </c:pt>
                <c:pt idx="16">
                  <c:v>4458</c:v>
                </c:pt>
                <c:pt idx="17">
                  <c:v>4516</c:v>
                </c:pt>
                <c:pt idx="18">
                  <c:v>5340</c:v>
                </c:pt>
                <c:pt idx="19">
                  <c:v>6299.5</c:v>
                </c:pt>
                <c:pt idx="20">
                  <c:v>6522</c:v>
                </c:pt>
                <c:pt idx="21">
                  <c:v>8012.5</c:v>
                </c:pt>
                <c:pt idx="22">
                  <c:v>8015</c:v>
                </c:pt>
                <c:pt idx="23">
                  <c:v>8034</c:v>
                </c:pt>
                <c:pt idx="24">
                  <c:v>8036.5</c:v>
                </c:pt>
                <c:pt idx="25">
                  <c:v>8152.5</c:v>
                </c:pt>
                <c:pt idx="26">
                  <c:v>8805</c:v>
                </c:pt>
                <c:pt idx="27">
                  <c:v>8870</c:v>
                </c:pt>
                <c:pt idx="28">
                  <c:v>8906.5</c:v>
                </c:pt>
                <c:pt idx="29">
                  <c:v>8964.5</c:v>
                </c:pt>
                <c:pt idx="30">
                  <c:v>8969</c:v>
                </c:pt>
                <c:pt idx="31">
                  <c:v>9923.5</c:v>
                </c:pt>
                <c:pt idx="32">
                  <c:v>9923.5</c:v>
                </c:pt>
                <c:pt idx="33">
                  <c:v>10643.5</c:v>
                </c:pt>
                <c:pt idx="34">
                  <c:v>10670</c:v>
                </c:pt>
                <c:pt idx="35">
                  <c:v>11665.5</c:v>
                </c:pt>
                <c:pt idx="36">
                  <c:v>11714</c:v>
                </c:pt>
                <c:pt idx="37">
                  <c:v>12492</c:v>
                </c:pt>
                <c:pt idx="38">
                  <c:v>12494.5</c:v>
                </c:pt>
                <c:pt idx="39">
                  <c:v>14250</c:v>
                </c:pt>
                <c:pt idx="40">
                  <c:v>13195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53-4AE4-B09C-6E8F6397F3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1.5E-3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3.3999999999999998E-3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3.0000000000000001E-3</c:v>
                  </c:pt>
                  <c:pt idx="12">
                    <c:v>7.0000000000000001E-3</c:v>
                  </c:pt>
                  <c:pt idx="13">
                    <c:v>1.1000000000000001E-3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3.0000000000000001E-3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1.4E-3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1.6999999999999999E-3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4.6000000000000001E-4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1.5E-3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3.3999999999999998E-3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3.0000000000000001E-3</c:v>
                  </c:pt>
                  <c:pt idx="12">
                    <c:v>7.0000000000000001E-3</c:v>
                  </c:pt>
                  <c:pt idx="13">
                    <c:v>1.1000000000000001E-3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3.0000000000000001E-3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1.4E-3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1.6999999999999999E-3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4.6000000000000001E-4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-2504.5</c:v>
                </c:pt>
                <c:pt idx="1">
                  <c:v>-2427</c:v>
                </c:pt>
                <c:pt idx="2">
                  <c:v>-55.5</c:v>
                </c:pt>
                <c:pt idx="3">
                  <c:v>-50.5</c:v>
                </c:pt>
                <c:pt idx="4">
                  <c:v>-29</c:v>
                </c:pt>
                <c:pt idx="5">
                  <c:v>-28.5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87</c:v>
                </c:pt>
                <c:pt idx="10">
                  <c:v>87.5</c:v>
                </c:pt>
                <c:pt idx="11">
                  <c:v>928</c:v>
                </c:pt>
                <c:pt idx="12">
                  <c:v>1841</c:v>
                </c:pt>
                <c:pt idx="13">
                  <c:v>1841.5</c:v>
                </c:pt>
                <c:pt idx="14">
                  <c:v>2798</c:v>
                </c:pt>
                <c:pt idx="15">
                  <c:v>3586</c:v>
                </c:pt>
                <c:pt idx="16">
                  <c:v>4458</c:v>
                </c:pt>
                <c:pt idx="17">
                  <c:v>4516</c:v>
                </c:pt>
                <c:pt idx="18">
                  <c:v>5340</c:v>
                </c:pt>
                <c:pt idx="19">
                  <c:v>6299.5</c:v>
                </c:pt>
                <c:pt idx="20">
                  <c:v>6522</c:v>
                </c:pt>
                <c:pt idx="21">
                  <c:v>8012.5</c:v>
                </c:pt>
                <c:pt idx="22">
                  <c:v>8015</c:v>
                </c:pt>
                <c:pt idx="23">
                  <c:v>8034</c:v>
                </c:pt>
                <c:pt idx="24">
                  <c:v>8036.5</c:v>
                </c:pt>
                <c:pt idx="25">
                  <c:v>8152.5</c:v>
                </c:pt>
                <c:pt idx="26">
                  <c:v>8805</c:v>
                </c:pt>
                <c:pt idx="27">
                  <c:v>8870</c:v>
                </c:pt>
                <c:pt idx="28">
                  <c:v>8906.5</c:v>
                </c:pt>
                <c:pt idx="29">
                  <c:v>8964.5</c:v>
                </c:pt>
                <c:pt idx="30">
                  <c:v>8969</c:v>
                </c:pt>
                <c:pt idx="31">
                  <c:v>9923.5</c:v>
                </c:pt>
                <c:pt idx="32">
                  <c:v>9923.5</c:v>
                </c:pt>
                <c:pt idx="33">
                  <c:v>10643.5</c:v>
                </c:pt>
                <c:pt idx="34">
                  <c:v>10670</c:v>
                </c:pt>
                <c:pt idx="35">
                  <c:v>11665.5</c:v>
                </c:pt>
                <c:pt idx="36">
                  <c:v>11714</c:v>
                </c:pt>
                <c:pt idx="37">
                  <c:v>12492</c:v>
                </c:pt>
                <c:pt idx="38">
                  <c:v>12494.5</c:v>
                </c:pt>
                <c:pt idx="39">
                  <c:v>14250</c:v>
                </c:pt>
                <c:pt idx="40">
                  <c:v>13195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53-4AE4-B09C-6E8F6397F3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1.5E-3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3.3999999999999998E-3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3.0000000000000001E-3</c:v>
                  </c:pt>
                  <c:pt idx="12">
                    <c:v>7.0000000000000001E-3</c:v>
                  </c:pt>
                  <c:pt idx="13">
                    <c:v>1.1000000000000001E-3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3.0000000000000001E-3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1.4E-3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1.6999999999999999E-3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4.6000000000000001E-4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1.5E-3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1E-3</c:v>
                  </c:pt>
                  <c:pt idx="4">
                    <c:v>1.1000000000000001E-3</c:v>
                  </c:pt>
                  <c:pt idx="5">
                    <c:v>3.3999999999999998E-3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3.0000000000000001E-3</c:v>
                  </c:pt>
                  <c:pt idx="12">
                    <c:v>7.0000000000000001E-3</c:v>
                  </c:pt>
                  <c:pt idx="13">
                    <c:v>1.1000000000000001E-3</c:v>
                  </c:pt>
                  <c:pt idx="14">
                    <c:v>3.0000000000000001E-3</c:v>
                  </c:pt>
                  <c:pt idx="15">
                    <c:v>1.1000000000000001E-3</c:v>
                  </c:pt>
                  <c:pt idx="16">
                    <c:v>1E-3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4.0000000000000002E-4</c:v>
                  </c:pt>
                  <c:pt idx="20">
                    <c:v>3.0000000000000001E-3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1.4E-3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2.0000000000000001E-4</c:v>
                  </c:pt>
                  <c:pt idx="29">
                    <c:v>1.6999999999999999E-3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4.6000000000000001E-4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1.1999999999999999E-3</c:v>
                  </c:pt>
                  <c:pt idx="39">
                    <c:v>0</c:v>
                  </c:pt>
                  <c:pt idx="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-2504.5</c:v>
                </c:pt>
                <c:pt idx="1">
                  <c:v>-2427</c:v>
                </c:pt>
                <c:pt idx="2">
                  <c:v>-55.5</c:v>
                </c:pt>
                <c:pt idx="3">
                  <c:v>-50.5</c:v>
                </c:pt>
                <c:pt idx="4">
                  <c:v>-29</c:v>
                </c:pt>
                <c:pt idx="5">
                  <c:v>-28.5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87</c:v>
                </c:pt>
                <c:pt idx="10">
                  <c:v>87.5</c:v>
                </c:pt>
                <c:pt idx="11">
                  <c:v>928</c:v>
                </c:pt>
                <c:pt idx="12">
                  <c:v>1841</c:v>
                </c:pt>
                <c:pt idx="13">
                  <c:v>1841.5</c:v>
                </c:pt>
                <c:pt idx="14">
                  <c:v>2798</c:v>
                </c:pt>
                <c:pt idx="15">
                  <c:v>3586</c:v>
                </c:pt>
                <c:pt idx="16">
                  <c:v>4458</c:v>
                </c:pt>
                <c:pt idx="17">
                  <c:v>4516</c:v>
                </c:pt>
                <c:pt idx="18">
                  <c:v>5340</c:v>
                </c:pt>
                <c:pt idx="19">
                  <c:v>6299.5</c:v>
                </c:pt>
                <c:pt idx="20">
                  <c:v>6522</c:v>
                </c:pt>
                <c:pt idx="21">
                  <c:v>8012.5</c:v>
                </c:pt>
                <c:pt idx="22">
                  <c:v>8015</c:v>
                </c:pt>
                <c:pt idx="23">
                  <c:v>8034</c:v>
                </c:pt>
                <c:pt idx="24">
                  <c:v>8036.5</c:v>
                </c:pt>
                <c:pt idx="25">
                  <c:v>8152.5</c:v>
                </c:pt>
                <c:pt idx="26">
                  <c:v>8805</c:v>
                </c:pt>
                <c:pt idx="27">
                  <c:v>8870</c:v>
                </c:pt>
                <c:pt idx="28">
                  <c:v>8906.5</c:v>
                </c:pt>
                <c:pt idx="29">
                  <c:v>8964.5</c:v>
                </c:pt>
                <c:pt idx="30">
                  <c:v>8969</c:v>
                </c:pt>
                <c:pt idx="31">
                  <c:v>9923.5</c:v>
                </c:pt>
                <c:pt idx="32">
                  <c:v>9923.5</c:v>
                </c:pt>
                <c:pt idx="33">
                  <c:v>10643.5</c:v>
                </c:pt>
                <c:pt idx="34">
                  <c:v>10670</c:v>
                </c:pt>
                <c:pt idx="35">
                  <c:v>11665.5</c:v>
                </c:pt>
                <c:pt idx="36">
                  <c:v>11714</c:v>
                </c:pt>
                <c:pt idx="37">
                  <c:v>12492</c:v>
                </c:pt>
                <c:pt idx="38">
                  <c:v>12494.5</c:v>
                </c:pt>
                <c:pt idx="39">
                  <c:v>14250</c:v>
                </c:pt>
                <c:pt idx="40">
                  <c:v>13195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53-4AE4-B09C-6E8F6397F3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-2504.5</c:v>
                </c:pt>
                <c:pt idx="1">
                  <c:v>-2427</c:v>
                </c:pt>
                <c:pt idx="2">
                  <c:v>-55.5</c:v>
                </c:pt>
                <c:pt idx="3">
                  <c:v>-50.5</c:v>
                </c:pt>
                <c:pt idx="4">
                  <c:v>-29</c:v>
                </c:pt>
                <c:pt idx="5">
                  <c:v>-28.5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87</c:v>
                </c:pt>
                <c:pt idx="10">
                  <c:v>87.5</c:v>
                </c:pt>
                <c:pt idx="11">
                  <c:v>928</c:v>
                </c:pt>
                <c:pt idx="12">
                  <c:v>1841</c:v>
                </c:pt>
                <c:pt idx="13">
                  <c:v>1841.5</c:v>
                </c:pt>
                <c:pt idx="14">
                  <c:v>2798</c:v>
                </c:pt>
                <c:pt idx="15">
                  <c:v>3586</c:v>
                </c:pt>
                <c:pt idx="16">
                  <c:v>4458</c:v>
                </c:pt>
                <c:pt idx="17">
                  <c:v>4516</c:v>
                </c:pt>
                <c:pt idx="18">
                  <c:v>5340</c:v>
                </c:pt>
                <c:pt idx="19">
                  <c:v>6299.5</c:v>
                </c:pt>
                <c:pt idx="20">
                  <c:v>6522</c:v>
                </c:pt>
                <c:pt idx="21">
                  <c:v>8012.5</c:v>
                </c:pt>
                <c:pt idx="22">
                  <c:v>8015</c:v>
                </c:pt>
                <c:pt idx="23">
                  <c:v>8034</c:v>
                </c:pt>
                <c:pt idx="24">
                  <c:v>8036.5</c:v>
                </c:pt>
                <c:pt idx="25">
                  <c:v>8152.5</c:v>
                </c:pt>
                <c:pt idx="26">
                  <c:v>8805</c:v>
                </c:pt>
                <c:pt idx="27">
                  <c:v>8870</c:v>
                </c:pt>
                <c:pt idx="28">
                  <c:v>8906.5</c:v>
                </c:pt>
                <c:pt idx="29">
                  <c:v>8964.5</c:v>
                </c:pt>
                <c:pt idx="30">
                  <c:v>8969</c:v>
                </c:pt>
                <c:pt idx="31">
                  <c:v>9923.5</c:v>
                </c:pt>
                <c:pt idx="32">
                  <c:v>9923.5</c:v>
                </c:pt>
                <c:pt idx="33">
                  <c:v>10643.5</c:v>
                </c:pt>
                <c:pt idx="34">
                  <c:v>10670</c:v>
                </c:pt>
                <c:pt idx="35">
                  <c:v>11665.5</c:v>
                </c:pt>
                <c:pt idx="36">
                  <c:v>11714</c:v>
                </c:pt>
                <c:pt idx="37">
                  <c:v>12492</c:v>
                </c:pt>
                <c:pt idx="38">
                  <c:v>12494.5</c:v>
                </c:pt>
                <c:pt idx="39">
                  <c:v>14250</c:v>
                </c:pt>
                <c:pt idx="40">
                  <c:v>13195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3.928562112839272E-2</c:v>
                </c:pt>
                <c:pt idx="1">
                  <c:v>3.8689791387495745E-2</c:v>
                </c:pt>
                <c:pt idx="2">
                  <c:v>2.0457401316048437E-2</c:v>
                </c:pt>
                <c:pt idx="3">
                  <c:v>2.0418960687603471E-2</c:v>
                </c:pt>
                <c:pt idx="4">
                  <c:v>2.0253665985290117E-2</c:v>
                </c:pt>
                <c:pt idx="5">
                  <c:v>2.0249821922445621E-2</c:v>
                </c:pt>
                <c:pt idx="6">
                  <c:v>2.0030710340309316E-2</c:v>
                </c:pt>
                <c:pt idx="7">
                  <c:v>2.0030710340309316E-2</c:v>
                </c:pt>
                <c:pt idx="8">
                  <c:v>2.0026866277464819E-2</c:v>
                </c:pt>
                <c:pt idx="9">
                  <c:v>1.936184340536691E-2</c:v>
                </c:pt>
                <c:pt idx="10">
                  <c:v>1.9357999342522414E-2</c:v>
                </c:pt>
                <c:pt idx="11">
                  <c:v>1.289612970092365E-2</c:v>
                </c:pt>
                <c:pt idx="12">
                  <c:v>5.8768709468728815E-3</c:v>
                </c:pt>
                <c:pt idx="13">
                  <c:v>5.8730268840283852E-3</c:v>
                </c:pt>
                <c:pt idx="14">
                  <c:v>-1.4806653374935842E-3</c:v>
                </c:pt>
                <c:pt idx="15">
                  <c:v>-7.5389083804202062E-3</c:v>
                </c:pt>
                <c:pt idx="16">
                  <c:v>-1.4242953981222252E-2</c:v>
                </c:pt>
                <c:pt idx="17">
                  <c:v>-1.4688865271183862E-2</c:v>
                </c:pt>
                <c:pt idx="18">
                  <c:v>-2.1023880838914231E-2</c:v>
                </c:pt>
                <c:pt idx="19">
                  <c:v>-2.8400637437503186E-2</c:v>
                </c:pt>
                <c:pt idx="20">
                  <c:v>-3.011124540330417E-2</c:v>
                </c:pt>
                <c:pt idx="21">
                  <c:v>-4.157039674274849E-2</c:v>
                </c:pt>
                <c:pt idx="22">
                  <c:v>-4.1589617056970979E-2</c:v>
                </c:pt>
                <c:pt idx="23">
                  <c:v>-4.1735691445061847E-2</c:v>
                </c:pt>
                <c:pt idx="24">
                  <c:v>-4.1754911759284329E-2</c:v>
                </c:pt>
                <c:pt idx="25">
                  <c:v>-4.2646734339207543E-2</c:v>
                </c:pt>
                <c:pt idx="26">
                  <c:v>-4.766323635127559E-2</c:v>
                </c:pt>
                <c:pt idx="27">
                  <c:v>-4.8162964521060142E-2</c:v>
                </c:pt>
                <c:pt idx="28">
                  <c:v>-4.8443581108708389E-2</c:v>
                </c:pt>
                <c:pt idx="29">
                  <c:v>-4.8889492398669993E-2</c:v>
                </c:pt>
                <c:pt idx="30">
                  <c:v>-4.892408896427046E-2</c:v>
                </c:pt>
                <c:pt idx="31">
                  <c:v>-5.6262404934414451E-2</c:v>
                </c:pt>
                <c:pt idx="32">
                  <c:v>-5.6262404934414451E-2</c:v>
                </c:pt>
                <c:pt idx="33">
                  <c:v>-6.1797855430489532E-2</c:v>
                </c:pt>
                <c:pt idx="34">
                  <c:v>-6.2001590761247852E-2</c:v>
                </c:pt>
                <c:pt idx="35">
                  <c:v>-6.9655119884640557E-2</c:v>
                </c:pt>
                <c:pt idx="36">
                  <c:v>-7.002799398055673E-2</c:v>
                </c:pt>
                <c:pt idx="37">
                  <c:v>-7.6009355766593414E-2</c:v>
                </c:pt>
                <c:pt idx="38">
                  <c:v>-7.6028576080815896E-2</c:v>
                </c:pt>
                <c:pt idx="39">
                  <c:v>-8.9525080727843417E-2</c:v>
                </c:pt>
                <c:pt idx="40">
                  <c:v>-8.141410812595562E-2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53-4AE4-B09C-6E8F6397F348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Active!$V$2:$V$28</c:f>
              <c:numCache>
                <c:formatCode>General</c:formatCode>
                <c:ptCount val="27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</c:numCache>
            </c:numRef>
          </c:xVal>
          <c:yVal>
            <c:numRef>
              <c:f>Active!$W$2:$W$28</c:f>
              <c:numCache>
                <c:formatCode>General</c:formatCode>
                <c:ptCount val="27"/>
                <c:pt idx="0">
                  <c:v>8.6619015317431821E-3</c:v>
                </c:pt>
                <c:pt idx="1">
                  <c:v>6.5807976934720213E-3</c:v>
                </c:pt>
                <c:pt idx="2">
                  <c:v>4.1043916030529762E-3</c:v>
                </c:pt>
                <c:pt idx="3">
                  <c:v>1.2326832604860473E-3</c:v>
                </c:pt>
                <c:pt idx="4">
                  <c:v>-2.0343273342287665E-3</c:v>
                </c:pt>
                <c:pt idx="5">
                  <c:v>-5.696640181091465E-3</c:v>
                </c:pt>
                <c:pt idx="6">
                  <c:v>-9.7542552801020473E-3</c:v>
                </c:pt>
                <c:pt idx="7">
                  <c:v>-1.4207172631260515E-2</c:v>
                </c:pt>
                <c:pt idx="8">
                  <c:v>-1.9055392234566863E-2</c:v>
                </c:pt>
                <c:pt idx="9">
                  <c:v>-2.42989140900211E-2</c:v>
                </c:pt>
                <c:pt idx="10">
                  <c:v>-2.9937738197623218E-2</c:v>
                </c:pt>
                <c:pt idx="11">
                  <c:v>-3.5971864557373223E-2</c:v>
                </c:pt>
                <c:pt idx="12">
                  <c:v>-4.2401293169271111E-2</c:v>
                </c:pt>
                <c:pt idx="13">
                  <c:v>-4.9226024033316884E-2</c:v>
                </c:pt>
                <c:pt idx="14">
                  <c:v>-5.6446057149510544E-2</c:v>
                </c:pt>
                <c:pt idx="15">
                  <c:v>-6.4061392517852089E-2</c:v>
                </c:pt>
                <c:pt idx="16">
                  <c:v>-7.2072030138341514E-2</c:v>
                </c:pt>
                <c:pt idx="17">
                  <c:v>-8.0477970010978825E-2</c:v>
                </c:pt>
                <c:pt idx="18">
                  <c:v>-8.9279212135764008E-2</c:v>
                </c:pt>
                <c:pt idx="19">
                  <c:v>-9.8475756512697105E-2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53-4AE4-B09C-6E8F6397F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041192"/>
        <c:axId val="1"/>
      </c:scatterChart>
      <c:valAx>
        <c:axId val="600041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33834586466165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04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97937099967764"/>
          <c:w val="0.7187969924812029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70" name="Chart 1">
          <a:extLst>
            <a:ext uri="{FF2B5EF4-FFF2-40B4-BE49-F238E27FC236}">
              <a16:creationId xmlns:a16="http://schemas.microsoft.com/office/drawing/2014/main" id="{082F552D-32BE-1C67-88B3-A99445D34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543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781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543" TargetMode="External"/><Relationship Id="rId16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konkoly.hu/cgi-bin/IBVS?5438" TargetMode="External"/><Relationship Id="rId6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713" TargetMode="External"/><Relationship Id="rId1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5894" TargetMode="External"/><Relationship Id="rId19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konkoly.hu/cgi-bin/IBVS?5653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37"/>
  <sheetViews>
    <sheetView tabSelected="1"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5.710937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39</v>
      </c>
      <c r="V1" s="4" t="s">
        <v>16</v>
      </c>
      <c r="W1" s="6" t="s">
        <v>27</v>
      </c>
    </row>
    <row r="2" spans="1:23">
      <c r="A2" t="s">
        <v>29</v>
      </c>
      <c r="B2" t="s">
        <v>48</v>
      </c>
      <c r="C2" s="3"/>
      <c r="D2" s="3"/>
      <c r="V2" s="75">
        <v>-4000</v>
      </c>
      <c r="W2" s="75">
        <f>+D$11+D$12*V2+D$13*V2^2</f>
        <v>8.6619015317431821E-3</v>
      </c>
    </row>
    <row r="3" spans="1:23" ht="13.5" thickBot="1">
      <c r="V3" s="75">
        <v>-3000</v>
      </c>
      <c r="W3" s="75">
        <f>+D$11+D$12*V3+D$13*V3^2</f>
        <v>6.5807976934720213E-3</v>
      </c>
    </row>
    <row r="4" spans="1:23" ht="13.5" thickBot="1">
      <c r="A4" s="5" t="s">
        <v>40</v>
      </c>
      <c r="C4" s="24">
        <v>52308.468800000002</v>
      </c>
      <c r="D4" s="25">
        <v>0.41274899999999998</v>
      </c>
      <c r="V4" s="75">
        <v>-2000</v>
      </c>
      <c r="W4" s="75">
        <f t="shared" ref="W4:W21" si="0">+D$11+D$12*V4+D$13*V4^2</f>
        <v>4.1043916030529762E-3</v>
      </c>
    </row>
    <row r="5" spans="1:23">
      <c r="A5" s="9" t="s">
        <v>34</v>
      </c>
      <c r="B5" s="10"/>
      <c r="C5" s="11">
        <v>-9.5</v>
      </c>
      <c r="D5" s="10" t="s">
        <v>35</v>
      </c>
      <c r="V5" s="75">
        <v>-1000</v>
      </c>
      <c r="W5" s="75">
        <f t="shared" si="0"/>
        <v>1.2326832604860473E-3</v>
      </c>
    </row>
    <row r="6" spans="1:23">
      <c r="A6" s="5" t="s">
        <v>8</v>
      </c>
      <c r="V6" s="75">
        <v>0</v>
      </c>
      <c r="W6" s="75">
        <f t="shared" si="0"/>
        <v>-2.0343273342287665E-3</v>
      </c>
    </row>
    <row r="7" spans="1:23">
      <c r="A7" t="s">
        <v>9</v>
      </c>
      <c r="C7">
        <f>+C4</f>
        <v>52308.468800000002</v>
      </c>
      <c r="V7" s="75">
        <v>1000</v>
      </c>
      <c r="W7" s="75">
        <f t="shared" si="0"/>
        <v>-5.696640181091465E-3</v>
      </c>
    </row>
    <row r="8" spans="1:23">
      <c r="A8" t="s">
        <v>10</v>
      </c>
      <c r="C8">
        <f>+D4</f>
        <v>0.41274899999999998</v>
      </c>
      <c r="V8" s="75">
        <v>2000</v>
      </c>
      <c r="W8" s="75">
        <f t="shared" si="0"/>
        <v>-9.7542552801020473E-3</v>
      </c>
    </row>
    <row r="9" spans="1:23">
      <c r="A9" s="22" t="s">
        <v>38</v>
      </c>
      <c r="B9" s="23">
        <v>45</v>
      </c>
      <c r="C9" s="20" t="str">
        <f>"F"&amp;B9</f>
        <v>F45</v>
      </c>
      <c r="D9" s="21" t="str">
        <f>"G"&amp;B9</f>
        <v>G45</v>
      </c>
      <c r="V9" s="75">
        <v>3000</v>
      </c>
      <c r="W9" s="75">
        <f t="shared" si="0"/>
        <v>-1.4207172631260515E-2</v>
      </c>
    </row>
    <row r="10" spans="1:23" ht="13.5" thickBot="1">
      <c r="A10" s="10"/>
      <c r="B10" s="10"/>
      <c r="C10" s="4" t="s">
        <v>25</v>
      </c>
      <c r="D10" s="4" t="s">
        <v>26</v>
      </c>
      <c r="E10" s="10"/>
      <c r="V10" s="75">
        <v>4000</v>
      </c>
      <c r="W10" s="75">
        <f t="shared" si="0"/>
        <v>-1.9055392234566863E-2</v>
      </c>
    </row>
    <row r="11" spans="1:23">
      <c r="A11" s="10" t="s">
        <v>21</v>
      </c>
      <c r="B11" s="10"/>
      <c r="C11" s="19">
        <f ca="1">INTERCEPT(INDIRECT($D$9):G992,INDIRECT($C$9):F992)</f>
        <v>2.0030710340309316E-2</v>
      </c>
      <c r="D11" s="13">
        <f>+E11*F11</f>
        <v>-2.0343273342287665E-3</v>
      </c>
      <c r="E11" s="65">
        <v>-2.0343273342287665E-3</v>
      </c>
      <c r="F11">
        <v>1</v>
      </c>
      <c r="V11" s="75">
        <v>5000</v>
      </c>
      <c r="W11" s="75">
        <f t="shared" si="0"/>
        <v>-2.42989140900211E-2</v>
      </c>
    </row>
    <row r="12" spans="1:23">
      <c r="A12" s="10" t="s">
        <v>22</v>
      </c>
      <c r="B12" s="10"/>
      <c r="C12" s="19">
        <f ca="1">SLOPE(INDIRECT($D$9):G992,INDIRECT($C$9):F992)</f>
        <v>-7.6881256889931742E-6</v>
      </c>
      <c r="D12" s="13">
        <f>+E12*F12</f>
        <v>-3.4646617207887559E-6</v>
      </c>
      <c r="E12" s="66">
        <v>-3.4646617207887559E-2</v>
      </c>
      <c r="F12" s="64">
        <v>1E-4</v>
      </c>
      <c r="V12" s="75">
        <v>6000</v>
      </c>
      <c r="W12" s="75">
        <f t="shared" si="0"/>
        <v>-2.9937738197623218E-2</v>
      </c>
    </row>
    <row r="13" spans="1:23" ht="13.5" thickBot="1">
      <c r="A13" s="10" t="s">
        <v>24</v>
      </c>
      <c r="B13" s="10"/>
      <c r="C13" s="3" t="s">
        <v>19</v>
      </c>
      <c r="D13" s="13">
        <f>+E13*F13</f>
        <v>-1.9765112607394219E-10</v>
      </c>
      <c r="E13" s="67">
        <v>-1.976511260739422E-2</v>
      </c>
      <c r="F13" s="64">
        <v>1E-8</v>
      </c>
      <c r="V13" s="75">
        <v>7000</v>
      </c>
      <c r="W13" s="75">
        <f t="shared" si="0"/>
        <v>-3.5971864557373223E-2</v>
      </c>
    </row>
    <row r="14" spans="1:23">
      <c r="A14" s="10"/>
      <c r="B14" s="10"/>
      <c r="C14" s="10"/>
      <c r="E14">
        <f>SUM(T21:T950)</f>
        <v>2.0599604323902842E-4</v>
      </c>
      <c r="V14" s="75">
        <v>8000</v>
      </c>
      <c r="W14" s="75">
        <f t="shared" si="0"/>
        <v>-4.2401293169271111E-2</v>
      </c>
    </row>
    <row r="15" spans="1:23">
      <c r="A15" s="12" t="s">
        <v>23</v>
      </c>
      <c r="B15" s="10"/>
      <c r="C15" s="13">
        <f ca="1">(C7+C11)+(C8+C12)*INT(MAX(F21:F3533))</f>
        <v>58190.052524919272</v>
      </c>
      <c r="D15" s="21">
        <f>+C7+INT(MAX(F21:F1588))*C8+D11+D12*INT(MAX(F21:F4023))+D13*INT(MAX(F21:F4050)^2)</f>
        <v>58190.050508711356</v>
      </c>
      <c r="E15" s="14" t="s">
        <v>52</v>
      </c>
      <c r="F15" s="11">
        <v>1</v>
      </c>
      <c r="V15" s="75">
        <v>9000</v>
      </c>
      <c r="W15" s="75">
        <f t="shared" si="0"/>
        <v>-4.9226024033316884E-2</v>
      </c>
    </row>
    <row r="16" spans="1:23">
      <c r="A16" s="16" t="s">
        <v>11</v>
      </c>
      <c r="B16" s="10"/>
      <c r="C16" s="17">
        <f ca="1">+C8+C12</f>
        <v>0.41274131187431096</v>
      </c>
      <c r="D16" s="21">
        <f>+C8+D12+2*D13*MAX(F21:F896)</f>
        <v>0.41273990228118607</v>
      </c>
      <c r="E16" s="14" t="s">
        <v>36</v>
      </c>
      <c r="F16" s="15">
        <f ca="1">NOW()+15018.5+$C$5/24</f>
        <v>60339.646361921295</v>
      </c>
      <c r="V16" s="75">
        <v>10000</v>
      </c>
      <c r="W16" s="75">
        <f t="shared" si="0"/>
        <v>-5.6446057149510544E-2</v>
      </c>
    </row>
    <row r="17" spans="1:23" ht="13.5" thickBot="1">
      <c r="A17" s="14" t="s">
        <v>33</v>
      </c>
      <c r="B17" s="10"/>
      <c r="C17" s="10">
        <f>COUNT(C21:C2191)</f>
        <v>41</v>
      </c>
      <c r="E17" s="14" t="s">
        <v>53</v>
      </c>
      <c r="F17" s="15">
        <f ca="1">ROUND(2*(F16-$C$7)/$C$8,0)/2+F15</f>
        <v>19459</v>
      </c>
      <c r="V17" s="75">
        <v>11000</v>
      </c>
      <c r="W17" s="75">
        <f t="shared" si="0"/>
        <v>-6.4061392517852089E-2</v>
      </c>
    </row>
    <row r="18" spans="1:23" ht="14.25" thickTop="1" thickBot="1">
      <c r="A18" s="5" t="s">
        <v>1</v>
      </c>
      <c r="C18" s="68">
        <f ca="1">+C15</f>
        <v>58190.052524919272</v>
      </c>
      <c r="D18" s="69">
        <f ca="1">C16</f>
        <v>0.41274131187431096</v>
      </c>
      <c r="E18" s="14" t="s">
        <v>54</v>
      </c>
      <c r="F18" s="21">
        <f ca="1">ROUND(2*(F16-$C$15)/$C$16,0)/2+F15</f>
        <v>5209</v>
      </c>
      <c r="V18" s="75">
        <v>12000</v>
      </c>
      <c r="W18" s="75">
        <f t="shared" si="0"/>
        <v>-7.2072030138341514E-2</v>
      </c>
    </row>
    <row r="19" spans="1:23" ht="13.5" thickBot="1">
      <c r="A19" s="5" t="s">
        <v>2</v>
      </c>
      <c r="C19" s="77">
        <f>+D15</f>
        <v>58190.050508711356</v>
      </c>
      <c r="D19" s="78">
        <f>+D16</f>
        <v>0.41273990228118607</v>
      </c>
      <c r="E19" s="14" t="s">
        <v>37</v>
      </c>
      <c r="F19" s="18">
        <f ca="1">+$C$15+$C$16*F18-15018.5-$C$5/24</f>
        <v>45321.917851805891</v>
      </c>
      <c r="V19" s="75">
        <v>13000</v>
      </c>
      <c r="W19" s="75">
        <f t="shared" si="0"/>
        <v>-8.0477970010978825E-2</v>
      </c>
    </row>
    <row r="20" spans="1:23" ht="15" thickBot="1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69</v>
      </c>
      <c r="I20" s="7" t="s">
        <v>72</v>
      </c>
      <c r="J20" s="7" t="s">
        <v>66</v>
      </c>
      <c r="K20" s="7" t="s">
        <v>64</v>
      </c>
      <c r="L20" s="7" t="s">
        <v>30</v>
      </c>
      <c r="M20" s="7" t="s">
        <v>31</v>
      </c>
      <c r="N20" s="7" t="s">
        <v>32</v>
      </c>
      <c r="O20" s="7" t="s">
        <v>28</v>
      </c>
      <c r="P20" s="70" t="s">
        <v>27</v>
      </c>
      <c r="Q20" s="4" t="s">
        <v>20</v>
      </c>
      <c r="R20" s="71" t="s">
        <v>3</v>
      </c>
      <c r="S20" s="6" t="s">
        <v>4</v>
      </c>
      <c r="T20" s="71" t="s">
        <v>5</v>
      </c>
      <c r="U20" s="72" t="s">
        <v>6</v>
      </c>
      <c r="V20" s="75">
        <v>14000</v>
      </c>
      <c r="W20" s="75">
        <f t="shared" si="0"/>
        <v>-8.9279212135764008E-2</v>
      </c>
    </row>
    <row r="21" spans="1:23" ht="12.75" customHeight="1">
      <c r="A21" s="26" t="s">
        <v>41</v>
      </c>
      <c r="B21" s="27" t="s">
        <v>43</v>
      </c>
      <c r="C21" s="28">
        <v>51274.738799999999</v>
      </c>
      <c r="D21" s="8">
        <v>1.5E-3</v>
      </c>
      <c r="E21">
        <f t="shared" ref="E21:E59" si="1">+(C21-C$7)/C$8</f>
        <v>-2504.5003137500107</v>
      </c>
      <c r="F21">
        <f t="shared" ref="F21:F61" si="2">ROUND(2*E21,0)/2</f>
        <v>-2504.5</v>
      </c>
      <c r="G21">
        <f t="shared" ref="G21:G59" si="3">+C21-(C$7+F21*C$8)</f>
        <v>-1.2950000382261351E-4</v>
      </c>
      <c r="K21">
        <f t="shared" ref="K21:K31" si="4">+G21</f>
        <v>-1.2950000382261351E-4</v>
      </c>
      <c r="O21">
        <f t="shared" ref="O21:O59" ca="1" si="5">+C$11+C$12*$F21</f>
        <v>3.928562112839272E-2</v>
      </c>
      <c r="P21" s="73">
        <f>+D$11+D$12*F21+D$13*F21^2</f>
        <v>5.4031472547525659E-3</v>
      </c>
      <c r="Q21" s="74">
        <f>+C21-15018.5</f>
        <v>36256.238799999999</v>
      </c>
      <c r="R21" s="75">
        <f>+(P21-G21)^2</f>
        <v>3.061018568781945E-5</v>
      </c>
      <c r="S21" s="75">
        <v>1</v>
      </c>
      <c r="T21" s="75">
        <f>+S21*R21</f>
        <v>3.061018568781945E-5</v>
      </c>
      <c r="U21" s="76"/>
      <c r="V21" s="75">
        <v>15000</v>
      </c>
      <c r="W21" s="75">
        <f t="shared" si="0"/>
        <v>-9.8475756512697105E-2</v>
      </c>
    </row>
    <row r="22" spans="1:23" ht="12.75" customHeight="1">
      <c r="A22" s="26" t="s">
        <v>41</v>
      </c>
      <c r="B22" s="27" t="s">
        <v>42</v>
      </c>
      <c r="C22" s="28">
        <v>51306.729099999997</v>
      </c>
      <c r="D22" s="8">
        <v>8.0000000000000004E-4</v>
      </c>
      <c r="E22">
        <f t="shared" si="1"/>
        <v>-2426.994856438188</v>
      </c>
      <c r="F22">
        <f t="shared" si="2"/>
        <v>-2427</v>
      </c>
      <c r="G22">
        <f t="shared" si="3"/>
        <v>2.1229999911156483E-3</v>
      </c>
      <c r="K22">
        <f t="shared" si="4"/>
        <v>2.1229999911156483E-3</v>
      </c>
      <c r="O22">
        <f t="shared" ca="1" si="5"/>
        <v>3.8689791387495745E-2</v>
      </c>
      <c r="P22" s="73">
        <f t="shared" ref="P22:P60" si="6">+D$11+D$12*F22+D$13*F22^2</f>
        <v>5.2101765023295464E-3</v>
      </c>
      <c r="Q22" s="2">
        <f t="shared" ref="Q22:Q59" si="7">+C22-15018.5</f>
        <v>36288.229099999997</v>
      </c>
      <c r="R22" s="75">
        <f>+(P22-G22)^2</f>
        <v>9.5306588113908158E-6</v>
      </c>
      <c r="S22" s="75">
        <v>1</v>
      </c>
      <c r="T22" s="75">
        <f>+S22*R22</f>
        <v>9.5306588113908158E-6</v>
      </c>
      <c r="V22" s="75"/>
      <c r="W22" s="75"/>
    </row>
    <row r="23" spans="1:23" ht="12.75" customHeight="1">
      <c r="A23" s="26" t="s">
        <v>41</v>
      </c>
      <c r="B23" s="27" t="s">
        <v>43</v>
      </c>
      <c r="C23" s="28">
        <v>52285.561699999998</v>
      </c>
      <c r="D23" s="8">
        <v>8.9999999999999998E-4</v>
      </c>
      <c r="E23">
        <f t="shared" si="1"/>
        <v>-55.498862504824956</v>
      </c>
      <c r="F23">
        <f t="shared" si="2"/>
        <v>-55.5</v>
      </c>
      <c r="G23">
        <f t="shared" si="3"/>
        <v>4.6949999523349106E-4</v>
      </c>
      <c r="K23">
        <f t="shared" si="4"/>
        <v>4.6949999523349106E-4</v>
      </c>
      <c r="O23">
        <f t="shared" ca="1" si="5"/>
        <v>2.0457401316048437E-2</v>
      </c>
      <c r="P23" s="73">
        <f t="shared" si="6"/>
        <v>-1.8426474236060797E-3</v>
      </c>
      <c r="Q23" s="2">
        <f t="shared" si="7"/>
        <v>37267.061699999998</v>
      </c>
      <c r="R23" s="75">
        <f t="shared" ref="R23:R60" si="8">+(P23-G23)^2</f>
        <v>5.3460256864464892E-6</v>
      </c>
      <c r="S23" s="75">
        <v>1</v>
      </c>
      <c r="T23" s="75">
        <f t="shared" ref="T23:T60" si="9">+S23*R23</f>
        <v>5.3460256864464892E-6</v>
      </c>
      <c r="V23" s="75"/>
      <c r="W23" s="75"/>
    </row>
    <row r="24" spans="1:23" ht="12.75" customHeight="1">
      <c r="A24" s="26" t="s">
        <v>41</v>
      </c>
      <c r="B24" s="27" t="s">
        <v>43</v>
      </c>
      <c r="C24" s="28">
        <v>52287.624799999998</v>
      </c>
      <c r="D24" s="8">
        <v>1E-3</v>
      </c>
      <c r="E24">
        <f t="shared" si="1"/>
        <v>-50.500425197891694</v>
      </c>
      <c r="F24">
        <f t="shared" si="2"/>
        <v>-50.5</v>
      </c>
      <c r="G24">
        <f t="shared" si="3"/>
        <v>-1.7550000484334305E-4</v>
      </c>
      <c r="K24">
        <f t="shared" si="4"/>
        <v>-1.7550000484334305E-4</v>
      </c>
      <c r="O24">
        <f t="shared" ca="1" si="5"/>
        <v>2.0418960687603471E-2</v>
      </c>
      <c r="P24" s="73">
        <f t="shared" si="6"/>
        <v>-1.8598659771132044E-3</v>
      </c>
      <c r="Q24" s="2">
        <f t="shared" si="7"/>
        <v>37269.124799999998</v>
      </c>
      <c r="R24" s="75">
        <f t="shared" si="8"/>
        <v>2.8370887285405952E-6</v>
      </c>
      <c r="S24" s="75">
        <v>1</v>
      </c>
      <c r="T24" s="75">
        <f t="shared" si="9"/>
        <v>2.8370887285405952E-6</v>
      </c>
      <c r="V24" s="75"/>
      <c r="W24" s="75"/>
    </row>
    <row r="25" spans="1:23" ht="12.75" customHeight="1">
      <c r="A25" s="26" t="s">
        <v>41</v>
      </c>
      <c r="B25" s="27" t="s">
        <v>42</v>
      </c>
      <c r="C25" s="28">
        <v>52296.497199999998</v>
      </c>
      <c r="D25" s="8">
        <v>1.1000000000000001E-3</v>
      </c>
      <c r="E25">
        <f t="shared" si="1"/>
        <v>-29.004552403529509</v>
      </c>
      <c r="F25">
        <f t="shared" si="2"/>
        <v>-29</v>
      </c>
      <c r="G25">
        <f t="shared" si="3"/>
        <v>-1.8790000031003729E-3</v>
      </c>
      <c r="K25">
        <f t="shared" si="4"/>
        <v>-1.8790000031003729E-3</v>
      </c>
      <c r="O25">
        <f t="shared" ca="1" si="5"/>
        <v>2.0253665985290117E-2</v>
      </c>
      <c r="P25" s="73">
        <f t="shared" si="6"/>
        <v>-1.9340183689229209E-3</v>
      </c>
      <c r="Q25" s="2">
        <f t="shared" si="7"/>
        <v>37277.997199999998</v>
      </c>
      <c r="R25" s="75">
        <f t="shared" si="8"/>
        <v>3.0270205777837212E-9</v>
      </c>
      <c r="S25" s="75">
        <v>1</v>
      </c>
      <c r="T25" s="75">
        <f t="shared" si="9"/>
        <v>3.0270205777837212E-9</v>
      </c>
      <c r="V25" s="75"/>
      <c r="W25" s="75"/>
    </row>
    <row r="26" spans="1:23" ht="12.75" customHeight="1">
      <c r="A26" s="26" t="s">
        <v>41</v>
      </c>
      <c r="B26" s="27" t="s">
        <v>43</v>
      </c>
      <c r="C26" s="28">
        <v>52296.7039</v>
      </c>
      <c r="D26" s="8">
        <v>3.3999999999999998E-3</v>
      </c>
      <c r="E26">
        <f t="shared" si="1"/>
        <v>-28.503763788651082</v>
      </c>
      <c r="F26">
        <f t="shared" si="2"/>
        <v>-28.5</v>
      </c>
      <c r="G26">
        <f t="shared" si="3"/>
        <v>-1.5534999984083697E-3</v>
      </c>
      <c r="K26">
        <f t="shared" si="4"/>
        <v>-1.5534999984083697E-3</v>
      </c>
      <c r="O26">
        <f t="shared" ca="1" si="5"/>
        <v>2.0249821922445621E-2</v>
      </c>
      <c r="P26" s="73">
        <f t="shared" si="6"/>
        <v>-1.9357450173134406E-3</v>
      </c>
      <c r="Q26" s="2">
        <f t="shared" si="7"/>
        <v>37278.2039</v>
      </c>
      <c r="R26" s="75">
        <f t="shared" si="8"/>
        <v>1.4611125447773802E-7</v>
      </c>
      <c r="S26" s="75">
        <v>1</v>
      </c>
      <c r="T26" s="75">
        <f t="shared" si="9"/>
        <v>1.4611125447773802E-7</v>
      </c>
      <c r="V26" s="75"/>
      <c r="W26" s="75"/>
    </row>
    <row r="27" spans="1:23" ht="12.75" customHeight="1">
      <c r="A27" s="26" t="s">
        <v>41</v>
      </c>
      <c r="B27" s="27" t="s">
        <v>42</v>
      </c>
      <c r="C27" s="28">
        <v>52308.467900000003</v>
      </c>
      <c r="D27" s="8">
        <v>6.9999999999999999E-4</v>
      </c>
      <c r="E27">
        <f t="shared" si="1"/>
        <v>-2.1805019493492668E-3</v>
      </c>
      <c r="F27">
        <f t="shared" si="2"/>
        <v>0</v>
      </c>
      <c r="G27">
        <f t="shared" si="3"/>
        <v>-8.9999999909196049E-4</v>
      </c>
      <c r="K27">
        <f t="shared" si="4"/>
        <v>-8.9999999909196049E-4</v>
      </c>
      <c r="O27">
        <f t="shared" ca="1" si="5"/>
        <v>2.0030710340309316E-2</v>
      </c>
      <c r="P27" s="73">
        <f t="shared" si="6"/>
        <v>-2.0343273342287665E-3</v>
      </c>
      <c r="Q27" s="2">
        <f t="shared" si="7"/>
        <v>37289.967900000003</v>
      </c>
      <c r="R27" s="75">
        <f t="shared" si="8"/>
        <v>1.2866985032385678E-6</v>
      </c>
      <c r="S27" s="75">
        <v>1</v>
      </c>
      <c r="T27" s="75">
        <f t="shared" si="9"/>
        <v>1.2866985032385678E-6</v>
      </c>
    </row>
    <row r="28" spans="1:23">
      <c r="A28" t="s">
        <v>41</v>
      </c>
      <c r="C28" s="8">
        <v>52308.468800000002</v>
      </c>
      <c r="D28" s="8" t="s">
        <v>19</v>
      </c>
      <c r="E28">
        <f t="shared" si="1"/>
        <v>0</v>
      </c>
      <c r="F28">
        <f t="shared" si="2"/>
        <v>0</v>
      </c>
      <c r="G28">
        <f t="shared" si="3"/>
        <v>0</v>
      </c>
      <c r="K28">
        <f t="shared" si="4"/>
        <v>0</v>
      </c>
      <c r="O28">
        <f t="shared" ca="1" si="5"/>
        <v>2.0030710340309316E-2</v>
      </c>
      <c r="P28" s="73">
        <f t="shared" si="6"/>
        <v>-2.0343273342287665E-3</v>
      </c>
      <c r="Q28" s="2">
        <f t="shared" si="7"/>
        <v>37289.968800000002</v>
      </c>
      <c r="R28" s="75">
        <f t="shared" si="8"/>
        <v>4.1384877027903189E-6</v>
      </c>
      <c r="S28" s="75">
        <v>1</v>
      </c>
      <c r="T28" s="75">
        <f t="shared" si="9"/>
        <v>4.1384877027903189E-6</v>
      </c>
    </row>
    <row r="29" spans="1:23" ht="12.75" customHeight="1">
      <c r="A29" s="26" t="s">
        <v>41</v>
      </c>
      <c r="B29" s="27" t="s">
        <v>43</v>
      </c>
      <c r="C29" s="28">
        <v>52308.676599999999</v>
      </c>
      <c r="D29" s="8">
        <v>1.1000000000000001E-3</v>
      </c>
      <c r="E29">
        <f t="shared" si="1"/>
        <v>0.50345367280476971</v>
      </c>
      <c r="F29">
        <f t="shared" si="2"/>
        <v>0.5</v>
      </c>
      <c r="G29">
        <f t="shared" si="3"/>
        <v>1.4254999987315387E-3</v>
      </c>
      <c r="K29">
        <f t="shared" si="4"/>
        <v>1.4254999987315387E-3</v>
      </c>
      <c r="O29">
        <f t="shared" ca="1" si="5"/>
        <v>2.0026866277464819E-2</v>
      </c>
      <c r="P29" s="73">
        <f t="shared" si="6"/>
        <v>-2.0360597145019426E-3</v>
      </c>
      <c r="Q29" s="2">
        <f t="shared" si="7"/>
        <v>37290.176599999999</v>
      </c>
      <c r="R29" s="75">
        <f t="shared" si="8"/>
        <v>1.1982395648281061E-5</v>
      </c>
      <c r="S29" s="75">
        <v>1</v>
      </c>
      <c r="T29" s="75">
        <f t="shared" si="9"/>
        <v>1.1982395648281061E-5</v>
      </c>
    </row>
    <row r="30" spans="1:23" ht="12.75" customHeight="1">
      <c r="A30" s="26" t="s">
        <v>41</v>
      </c>
      <c r="B30" s="27" t="s">
        <v>42</v>
      </c>
      <c r="C30" s="28">
        <v>52344.3776</v>
      </c>
      <c r="D30" s="8">
        <v>1E-3</v>
      </c>
      <c r="E30">
        <f t="shared" si="1"/>
        <v>86.999120530873313</v>
      </c>
      <c r="F30">
        <f t="shared" si="2"/>
        <v>87</v>
      </c>
      <c r="G30">
        <f t="shared" si="3"/>
        <v>-3.6299999919719994E-4</v>
      </c>
      <c r="K30">
        <f t="shared" si="4"/>
        <v>-3.6299999919719994E-4</v>
      </c>
      <c r="O30">
        <f t="shared" ca="1" si="5"/>
        <v>1.936184340536691E-2</v>
      </c>
      <c r="P30" s="73">
        <f t="shared" si="6"/>
        <v>-2.337248925310642E-3</v>
      </c>
      <c r="Q30" s="2">
        <f t="shared" si="7"/>
        <v>37325.8776</v>
      </c>
      <c r="R30" s="75">
        <f t="shared" si="8"/>
        <v>3.8976588222600797E-6</v>
      </c>
      <c r="S30" s="75">
        <v>1</v>
      </c>
      <c r="T30" s="75">
        <f t="shared" si="9"/>
        <v>3.8976588222600797E-6</v>
      </c>
    </row>
    <row r="31" spans="1:23" ht="12.75" customHeight="1">
      <c r="A31" s="29" t="s">
        <v>41</v>
      </c>
      <c r="B31" s="30" t="s">
        <v>43</v>
      </c>
      <c r="C31" s="31">
        <v>52344.587200000002</v>
      </c>
      <c r="D31" s="32">
        <v>6.9999999999999999E-4</v>
      </c>
      <c r="E31">
        <f t="shared" si="1"/>
        <v>87.50693520759441</v>
      </c>
      <c r="F31">
        <f t="shared" si="2"/>
        <v>87.5</v>
      </c>
      <c r="G31">
        <f t="shared" si="3"/>
        <v>2.8624999977182597E-3</v>
      </c>
      <c r="K31">
        <f t="shared" si="4"/>
        <v>2.8624999977182597E-3</v>
      </c>
      <c r="O31">
        <f t="shared" ca="1" si="5"/>
        <v>1.9357999342522414E-2</v>
      </c>
      <c r="P31" s="73">
        <f t="shared" si="6"/>
        <v>-2.3389985012317862E-3</v>
      </c>
      <c r="Q31" s="2">
        <f t="shared" si="7"/>
        <v>37326.087200000002</v>
      </c>
      <c r="R31" s="75">
        <f t="shared" si="8"/>
        <v>2.7055586634579582E-5</v>
      </c>
      <c r="S31" s="75">
        <v>1</v>
      </c>
      <c r="T31" s="75">
        <f t="shared" si="9"/>
        <v>2.7055586634579582E-5</v>
      </c>
    </row>
    <row r="32" spans="1:23">
      <c r="A32" s="32" t="s">
        <v>44</v>
      </c>
      <c r="B32" s="33" t="s">
        <v>42</v>
      </c>
      <c r="C32" s="32">
        <v>52691.493000000002</v>
      </c>
      <c r="D32" s="32">
        <v>3.0000000000000001E-3</v>
      </c>
      <c r="E32">
        <f t="shared" si="1"/>
        <v>927.98335065620961</v>
      </c>
      <c r="F32">
        <f t="shared" si="2"/>
        <v>928</v>
      </c>
      <c r="G32">
        <f t="shared" si="3"/>
        <v>-6.8719999981112778E-3</v>
      </c>
      <c r="I32">
        <f>+G32</f>
        <v>-6.8719999981112778E-3</v>
      </c>
      <c r="O32">
        <f t="shared" ca="1" si="5"/>
        <v>1.289612970092365E-2</v>
      </c>
      <c r="P32" s="73">
        <f t="shared" si="6"/>
        <v>-5.4197473984775937E-3</v>
      </c>
      <c r="Q32" s="2">
        <f t="shared" si="7"/>
        <v>37672.993000000002</v>
      </c>
      <c r="R32" s="75">
        <f t="shared" si="8"/>
        <v>2.1090376131427937E-6</v>
      </c>
      <c r="S32" s="75">
        <v>0.1</v>
      </c>
      <c r="T32" s="75">
        <f t="shared" si="9"/>
        <v>2.1090376131427937E-7</v>
      </c>
    </row>
    <row r="33" spans="1:20">
      <c r="A33" s="34" t="s">
        <v>46</v>
      </c>
      <c r="B33" s="35" t="s">
        <v>42</v>
      </c>
      <c r="C33" s="34">
        <v>53068.330999999998</v>
      </c>
      <c r="D33" s="36">
        <v>7.0000000000000001E-3</v>
      </c>
      <c r="E33">
        <f t="shared" si="1"/>
        <v>1840.978900009439</v>
      </c>
      <c r="F33">
        <f t="shared" si="2"/>
        <v>1841</v>
      </c>
      <c r="G33">
        <f t="shared" si="3"/>
        <v>-8.7090000015450642E-3</v>
      </c>
      <c r="K33">
        <f>+G33</f>
        <v>-8.7090000015450642E-3</v>
      </c>
      <c r="O33">
        <f t="shared" ca="1" si="5"/>
        <v>5.8768709468728815E-3</v>
      </c>
      <c r="P33" s="73">
        <f t="shared" si="6"/>
        <v>-9.0826647684318831E-3</v>
      </c>
      <c r="Q33" s="2">
        <f t="shared" si="7"/>
        <v>38049.830999999998</v>
      </c>
      <c r="R33" s="75">
        <f t="shared" si="8"/>
        <v>1.3962535801258073E-7</v>
      </c>
      <c r="S33" s="75">
        <v>0.1</v>
      </c>
      <c r="T33" s="75">
        <f t="shared" si="9"/>
        <v>1.3962535801258074E-8</v>
      </c>
    </row>
    <row r="34" spans="1:20">
      <c r="A34" s="34" t="s">
        <v>46</v>
      </c>
      <c r="B34" s="35" t="s">
        <v>43</v>
      </c>
      <c r="C34" s="34">
        <v>53068.536599999999</v>
      </c>
      <c r="D34" s="36">
        <v>1.1000000000000001E-3</v>
      </c>
      <c r="E34">
        <f t="shared" si="1"/>
        <v>1841.4770235663736</v>
      </c>
      <c r="F34">
        <f t="shared" si="2"/>
        <v>1841.5</v>
      </c>
      <c r="G34">
        <f t="shared" si="3"/>
        <v>-9.4835000054445118E-3</v>
      </c>
      <c r="K34">
        <f>+G34</f>
        <v>-9.4835000054445118E-3</v>
      </c>
      <c r="O34">
        <f t="shared" ca="1" si="5"/>
        <v>5.8730268840283852E-3</v>
      </c>
      <c r="P34" s="73">
        <f t="shared" si="6"/>
        <v>-9.0847610244281611E-3</v>
      </c>
      <c r="Q34" s="2">
        <f t="shared" si="7"/>
        <v>38050.036599999999</v>
      </c>
      <c r="R34" s="75">
        <f t="shared" si="8"/>
        <v>1.5899277498195765E-7</v>
      </c>
      <c r="S34" s="75">
        <v>1</v>
      </c>
      <c r="T34" s="75">
        <f t="shared" si="9"/>
        <v>1.5899277498195765E-7</v>
      </c>
    </row>
    <row r="35" spans="1:20">
      <c r="A35" s="32" t="s">
        <v>47</v>
      </c>
      <c r="B35" s="33" t="s">
        <v>42</v>
      </c>
      <c r="C35" s="32">
        <v>53463.324999999997</v>
      </c>
      <c r="D35" s="32">
        <v>3.0000000000000001E-3</v>
      </c>
      <c r="E35">
        <f t="shared" si="1"/>
        <v>2797.9624420652617</v>
      </c>
      <c r="F35">
        <f t="shared" si="2"/>
        <v>2798</v>
      </c>
      <c r="G35">
        <f t="shared" si="3"/>
        <v>-1.5502000002015848E-2</v>
      </c>
      <c r="K35">
        <f>+G35</f>
        <v>-1.5502000002015848E-2</v>
      </c>
      <c r="O35">
        <f t="shared" ca="1" si="5"/>
        <v>-1.4806653374935842E-3</v>
      </c>
      <c r="P35" s="73">
        <f t="shared" si="6"/>
        <v>-1.327582275540789E-2</v>
      </c>
      <c r="Q35" s="2">
        <f t="shared" si="7"/>
        <v>38444.824999999997</v>
      </c>
      <c r="R35" s="75">
        <f t="shared" si="8"/>
        <v>4.955865133314986E-6</v>
      </c>
      <c r="S35" s="75">
        <v>1</v>
      </c>
      <c r="T35" s="75">
        <f t="shared" si="9"/>
        <v>4.955865133314986E-6</v>
      </c>
    </row>
    <row r="36" spans="1:20">
      <c r="A36" s="32" t="s">
        <v>45</v>
      </c>
      <c r="B36" s="33" t="s">
        <v>42</v>
      </c>
      <c r="C36" s="32">
        <v>53788.567600000002</v>
      </c>
      <c r="D36" s="32">
        <v>1.1000000000000001E-3</v>
      </c>
      <c r="E36">
        <f t="shared" si="1"/>
        <v>3585.9536909841086</v>
      </c>
      <c r="F36">
        <f t="shared" si="2"/>
        <v>3586</v>
      </c>
      <c r="G36">
        <f t="shared" si="3"/>
        <v>-1.9114000002446119E-2</v>
      </c>
      <c r="J36">
        <f>+G36</f>
        <v>-1.9114000002446119E-2</v>
      </c>
      <c r="O36">
        <f t="shared" ca="1" si="5"/>
        <v>-7.5389083804202062E-3</v>
      </c>
      <c r="P36" s="73">
        <f t="shared" si="6"/>
        <v>-1.7000278365007993E-2</v>
      </c>
      <c r="Q36" s="2">
        <f t="shared" si="7"/>
        <v>38770.067600000002</v>
      </c>
      <c r="R36" s="75">
        <f t="shared" si="8"/>
        <v>4.4678191605741103E-6</v>
      </c>
      <c r="S36" s="75">
        <v>1</v>
      </c>
      <c r="T36" s="75">
        <f t="shared" si="9"/>
        <v>4.4678191605741103E-6</v>
      </c>
    </row>
    <row r="37" spans="1:20">
      <c r="A37" s="32" t="s">
        <v>50</v>
      </c>
      <c r="B37" s="33" t="s">
        <v>42</v>
      </c>
      <c r="C37" s="32">
        <v>54148.479399999997</v>
      </c>
      <c r="D37" s="32">
        <v>1E-3</v>
      </c>
      <c r="E37">
        <f t="shared" si="1"/>
        <v>4457.9407824125419</v>
      </c>
      <c r="F37">
        <f t="shared" si="2"/>
        <v>4458</v>
      </c>
      <c r="G37">
        <f t="shared" si="3"/>
        <v>-2.4442000009003095E-2</v>
      </c>
      <c r="J37">
        <f>+G37</f>
        <v>-2.4442000009003095E-2</v>
      </c>
      <c r="O37">
        <f t="shared" ca="1" si="5"/>
        <v>-1.4242953981222252E-2</v>
      </c>
      <c r="P37" s="73">
        <f t="shared" si="6"/>
        <v>-2.1407861119432811E-2</v>
      </c>
      <c r="Q37" s="2">
        <f t="shared" si="7"/>
        <v>39129.979399999997</v>
      </c>
      <c r="R37" s="75">
        <f t="shared" si="8"/>
        <v>9.2059988012027973E-6</v>
      </c>
      <c r="S37" s="75">
        <v>1</v>
      </c>
      <c r="T37" s="75">
        <f t="shared" si="9"/>
        <v>9.2059988012027973E-6</v>
      </c>
    </row>
    <row r="38" spans="1:20">
      <c r="A38" s="37" t="s">
        <v>49</v>
      </c>
      <c r="B38" s="33" t="s">
        <v>42</v>
      </c>
      <c r="C38" s="32">
        <v>54172.4182</v>
      </c>
      <c r="D38" s="32">
        <v>5.9999999999999995E-4</v>
      </c>
      <c r="E38">
        <f t="shared" si="1"/>
        <v>4515.9392269878254</v>
      </c>
      <c r="F38">
        <f t="shared" si="2"/>
        <v>4516</v>
      </c>
      <c r="G38">
        <f t="shared" si="3"/>
        <v>-2.5084000000788365E-2</v>
      </c>
      <c r="K38">
        <f>+G38</f>
        <v>-2.5084000000788365E-2</v>
      </c>
      <c r="O38">
        <f t="shared" ca="1" si="5"/>
        <v>-1.4688865271183862E-2</v>
      </c>
      <c r="P38" s="73">
        <f t="shared" si="6"/>
        <v>-2.171168732915104E-2</v>
      </c>
      <c r="Q38" s="2">
        <f t="shared" si="7"/>
        <v>39153.9182</v>
      </c>
      <c r="R38" s="75">
        <f t="shared" si="8"/>
        <v>1.1372492755285669E-5</v>
      </c>
      <c r="S38" s="75">
        <v>1</v>
      </c>
      <c r="T38" s="75">
        <f t="shared" si="9"/>
        <v>1.1372492755285669E-5</v>
      </c>
    </row>
    <row r="39" spans="1:20">
      <c r="A39" s="34" t="s">
        <v>55</v>
      </c>
      <c r="B39" s="35" t="s">
        <v>42</v>
      </c>
      <c r="C39" s="34">
        <v>54512.520900000003</v>
      </c>
      <c r="D39" s="34">
        <v>4.0000000000000002E-4</v>
      </c>
      <c r="E39">
        <f t="shared" si="1"/>
        <v>5339.9332281846855</v>
      </c>
      <c r="F39">
        <f t="shared" si="2"/>
        <v>5340</v>
      </c>
      <c r="G39">
        <f t="shared" si="3"/>
        <v>-2.756000000226777E-2</v>
      </c>
      <c r="J39">
        <f>+G39</f>
        <v>-2.756000000226777E-2</v>
      </c>
      <c r="O39">
        <f t="shared" ca="1" si="5"/>
        <v>-2.1023880838914231E-2</v>
      </c>
      <c r="P39" s="73">
        <f t="shared" si="6"/>
        <v>-2.6171761373914828E-2</v>
      </c>
      <c r="Q39" s="2">
        <f t="shared" si="7"/>
        <v>39494.020900000003</v>
      </c>
      <c r="R39" s="75">
        <f t="shared" si="8"/>
        <v>1.9272064892512593E-6</v>
      </c>
      <c r="S39" s="75">
        <v>1</v>
      </c>
      <c r="T39" s="75">
        <f t="shared" si="9"/>
        <v>1.9272064892512593E-6</v>
      </c>
    </row>
    <row r="40" spans="1:20">
      <c r="A40" s="34" t="s">
        <v>55</v>
      </c>
      <c r="B40" s="35" t="s">
        <v>43</v>
      </c>
      <c r="C40" s="34">
        <v>54908.548699999999</v>
      </c>
      <c r="D40" s="34">
        <v>4.0000000000000002E-4</v>
      </c>
      <c r="E40">
        <f t="shared" si="1"/>
        <v>6299.4214401488489</v>
      </c>
      <c r="F40">
        <f t="shared" si="2"/>
        <v>6299.5</v>
      </c>
      <c r="G40">
        <f t="shared" si="3"/>
        <v>-3.2425500001409091E-2</v>
      </c>
      <c r="J40">
        <f>+G40</f>
        <v>-3.2425500001409091E-2</v>
      </c>
      <c r="O40">
        <f t="shared" ca="1" si="5"/>
        <v>-2.8400637437503186E-2</v>
      </c>
      <c r="P40" s="73">
        <f t="shared" si="6"/>
        <v>-3.1703491885530816E-2</v>
      </c>
      <c r="Q40" s="2">
        <f t="shared" si="7"/>
        <v>39890.048699999999</v>
      </c>
      <c r="R40" s="75">
        <f t="shared" si="8"/>
        <v>5.2129571939409714E-7</v>
      </c>
      <c r="S40" s="75">
        <v>1</v>
      </c>
      <c r="T40" s="75">
        <f t="shared" si="9"/>
        <v>5.2129571939409714E-7</v>
      </c>
    </row>
    <row r="41" spans="1:20">
      <c r="A41" s="32" t="s">
        <v>51</v>
      </c>
      <c r="B41" s="33" t="s">
        <v>42</v>
      </c>
      <c r="C41" s="32">
        <v>55000.387000000002</v>
      </c>
      <c r="D41" s="32">
        <v>3.0000000000000001E-3</v>
      </c>
      <c r="E41">
        <f t="shared" si="1"/>
        <v>6521.9254316788174</v>
      </c>
      <c r="F41">
        <f t="shared" si="2"/>
        <v>6522</v>
      </c>
      <c r="G41">
        <f t="shared" si="3"/>
        <v>-3.0778000000282191E-2</v>
      </c>
      <c r="K41">
        <f>+G41</f>
        <v>-3.0778000000282191E-2</v>
      </c>
      <c r="O41">
        <f t="shared" ca="1" si="5"/>
        <v>-3.011124540330417E-2</v>
      </c>
      <c r="P41" s="73">
        <f t="shared" si="6"/>
        <v>-3.3038235039039257E-2</v>
      </c>
      <c r="Q41" s="2">
        <f t="shared" si="7"/>
        <v>39981.887000000002</v>
      </c>
      <c r="R41" s="75">
        <f t="shared" si="8"/>
        <v>5.1086624304251574E-6</v>
      </c>
      <c r="S41" s="75">
        <v>1</v>
      </c>
      <c r="T41" s="75">
        <f t="shared" si="9"/>
        <v>5.1086624304251574E-6</v>
      </c>
    </row>
    <row r="42" spans="1:20">
      <c r="A42" s="38" t="s">
        <v>57</v>
      </c>
      <c r="B42" s="33" t="s">
        <v>43</v>
      </c>
      <c r="C42" s="32">
        <v>55615.57821</v>
      </c>
      <c r="D42" s="32">
        <v>2.0000000000000001E-4</v>
      </c>
      <c r="E42">
        <f t="shared" si="1"/>
        <v>8012.3983583243025</v>
      </c>
      <c r="F42">
        <f t="shared" si="2"/>
        <v>8012.5</v>
      </c>
      <c r="G42">
        <f t="shared" si="3"/>
        <v>-4.1952500003390014E-2</v>
      </c>
      <c r="K42">
        <f>+G42</f>
        <v>-4.1952500003390014E-2</v>
      </c>
      <c r="O42">
        <f t="shared" ca="1" si="5"/>
        <v>-4.157039674274849E-2</v>
      </c>
      <c r="P42" s="73">
        <f t="shared" si="6"/>
        <v>-4.2484162548984211E-2</v>
      </c>
      <c r="Q42" s="2">
        <f t="shared" si="7"/>
        <v>40597.07821</v>
      </c>
      <c r="R42" s="75">
        <f t="shared" si="8"/>
        <v>2.826650623877016E-7</v>
      </c>
      <c r="S42" s="75">
        <v>1</v>
      </c>
      <c r="T42" s="75">
        <f t="shared" si="9"/>
        <v>2.826650623877016E-7</v>
      </c>
    </row>
    <row r="43" spans="1:20">
      <c r="A43" s="38" t="s">
        <v>57</v>
      </c>
      <c r="B43" s="33" t="s">
        <v>42</v>
      </c>
      <c r="C43" s="32">
        <v>55616.608419999997</v>
      </c>
      <c r="D43" s="32">
        <v>1E-4</v>
      </c>
      <c r="E43">
        <f t="shared" si="1"/>
        <v>8014.8943304526347</v>
      </c>
      <c r="F43">
        <f t="shared" si="2"/>
        <v>8015</v>
      </c>
      <c r="G43">
        <f t="shared" si="3"/>
        <v>-4.3615000002318993E-2</v>
      </c>
      <c r="K43">
        <f>+G43</f>
        <v>-4.3615000002318993E-2</v>
      </c>
      <c r="O43">
        <f t="shared" ca="1" si="5"/>
        <v>-4.1589617056970979E-2</v>
      </c>
      <c r="P43" s="73">
        <f t="shared" si="6"/>
        <v>-4.250074383684406E-2</v>
      </c>
      <c r="Q43" s="2">
        <f t="shared" si="7"/>
        <v>40598.108419999997</v>
      </c>
      <c r="R43" s="75">
        <f t="shared" si="8"/>
        <v>1.241566802298902E-6</v>
      </c>
      <c r="S43" s="75">
        <v>1</v>
      </c>
      <c r="T43" s="75">
        <f t="shared" si="9"/>
        <v>1.241566802298902E-6</v>
      </c>
    </row>
    <row r="44" spans="1:20">
      <c r="A44" s="34" t="s">
        <v>56</v>
      </c>
      <c r="B44" s="35" t="s">
        <v>42</v>
      </c>
      <c r="C44" s="34">
        <v>55624.451699999998</v>
      </c>
      <c r="D44" s="34">
        <v>1.4E-3</v>
      </c>
      <c r="E44">
        <f t="shared" si="1"/>
        <v>8033.8968719488012</v>
      </c>
      <c r="F44">
        <f t="shared" si="2"/>
        <v>8034</v>
      </c>
      <c r="G44">
        <f t="shared" si="3"/>
        <v>-4.2566000003716908E-2</v>
      </c>
      <c r="J44">
        <f>+G44</f>
        <v>-4.2566000003716908E-2</v>
      </c>
      <c r="O44">
        <f t="shared" ca="1" si="5"/>
        <v>-4.1735691445061847E-2</v>
      </c>
      <c r="P44" s="73">
        <f t="shared" si="6"/>
        <v>-4.2626842365063894E-2</v>
      </c>
      <c r="Q44" s="2">
        <f t="shared" si="7"/>
        <v>40605.951699999998</v>
      </c>
      <c r="R44" s="75">
        <f t="shared" si="8"/>
        <v>3.7017929342771561E-9</v>
      </c>
      <c r="S44" s="75">
        <v>1</v>
      </c>
      <c r="T44" s="75">
        <f t="shared" si="9"/>
        <v>3.7017929342771561E-9</v>
      </c>
    </row>
    <row r="45" spans="1:20">
      <c r="A45" s="38" t="s">
        <v>57</v>
      </c>
      <c r="B45" s="33" t="s">
        <v>43</v>
      </c>
      <c r="C45" s="32">
        <v>55625.483800000002</v>
      </c>
      <c r="D45" s="32">
        <v>2.9999999999999997E-4</v>
      </c>
      <c r="E45">
        <f t="shared" si="1"/>
        <v>8036.3974231312486</v>
      </c>
      <c r="F45">
        <f t="shared" si="2"/>
        <v>8036.5</v>
      </c>
      <c r="G45">
        <f t="shared" si="3"/>
        <v>-4.2338500003097579E-2</v>
      </c>
      <c r="K45">
        <f>+G45</f>
        <v>-4.2338500003097579E-2</v>
      </c>
      <c r="O45">
        <f t="shared" ca="1" si="5"/>
        <v>-4.1754911759284329E-2</v>
      </c>
      <c r="P45" s="73">
        <f t="shared" si="6"/>
        <v>-4.2643444900419797E-2</v>
      </c>
      <c r="Q45" s="2">
        <f t="shared" si="7"/>
        <v>40606.983800000002</v>
      </c>
      <c r="R45" s="75">
        <f t="shared" si="8"/>
        <v>9.2991390402858055E-8</v>
      </c>
      <c r="S45" s="75">
        <v>1</v>
      </c>
      <c r="T45" s="75">
        <f t="shared" si="9"/>
        <v>9.2991390402858055E-8</v>
      </c>
    </row>
    <row r="46" spans="1:20">
      <c r="A46" s="55" t="s">
        <v>149</v>
      </c>
      <c r="B46" s="57" t="s">
        <v>43</v>
      </c>
      <c r="C46" s="56">
        <v>55673.3606</v>
      </c>
      <c r="D46" s="56" t="s">
        <v>72</v>
      </c>
      <c r="E46">
        <f t="shared" si="1"/>
        <v>8152.3923740578357</v>
      </c>
      <c r="F46">
        <f t="shared" si="2"/>
        <v>8152.5</v>
      </c>
      <c r="G46">
        <f t="shared" si="3"/>
        <v>-4.4422500002838206E-2</v>
      </c>
      <c r="K46">
        <f>+G46</f>
        <v>-4.4422500002838206E-2</v>
      </c>
      <c r="O46">
        <f t="shared" ca="1" si="5"/>
        <v>-4.2646734339207543E-2</v>
      </c>
      <c r="P46" s="73">
        <f t="shared" si="6"/>
        <v>-4.3416519453312569E-2</v>
      </c>
      <c r="Q46" s="2">
        <f t="shared" si="7"/>
        <v>40654.8606</v>
      </c>
      <c r="R46" s="75">
        <f t="shared" si="8"/>
        <v>1.0119968660239023E-6</v>
      </c>
      <c r="S46" s="75">
        <v>1</v>
      </c>
      <c r="T46" s="75">
        <f t="shared" si="9"/>
        <v>1.0119968660239023E-6</v>
      </c>
    </row>
    <row r="47" spans="1:20">
      <c r="A47" s="29" t="s">
        <v>59</v>
      </c>
      <c r="B47" s="30" t="s">
        <v>42</v>
      </c>
      <c r="C47" s="32">
        <v>55942.6757</v>
      </c>
      <c r="D47" s="31">
        <v>1E-4</v>
      </c>
      <c r="E47">
        <f t="shared" si="1"/>
        <v>8804.8835975374805</v>
      </c>
      <c r="F47">
        <f t="shared" si="2"/>
        <v>8805</v>
      </c>
      <c r="G47">
        <f t="shared" si="3"/>
        <v>-4.8045000003185123E-2</v>
      </c>
      <c r="J47">
        <f>+G47</f>
        <v>-4.8045000003185123E-2</v>
      </c>
      <c r="O47">
        <f t="shared" ca="1" si="5"/>
        <v>-4.766323635127559E-2</v>
      </c>
      <c r="P47" s="73">
        <f t="shared" si="6"/>
        <v>-4.7864175229312508E-2</v>
      </c>
      <c r="Q47" s="2">
        <f t="shared" si="7"/>
        <v>40924.1757</v>
      </c>
      <c r="R47" s="75">
        <f t="shared" si="8"/>
        <v>3.2697598846082302E-8</v>
      </c>
      <c r="S47" s="75">
        <v>1</v>
      </c>
      <c r="T47" s="75">
        <f t="shared" si="9"/>
        <v>3.2697598846082302E-8</v>
      </c>
    </row>
    <row r="48" spans="1:20">
      <c r="A48" s="38" t="s">
        <v>57</v>
      </c>
      <c r="B48" s="33" t="s">
        <v>42</v>
      </c>
      <c r="C48" s="32">
        <v>55969.504289999997</v>
      </c>
      <c r="D48" s="32">
        <v>2.9999999999999997E-4</v>
      </c>
      <c r="E48">
        <f t="shared" si="1"/>
        <v>8869.8833673733789</v>
      </c>
      <c r="F48">
        <f t="shared" si="2"/>
        <v>8870</v>
      </c>
      <c r="G48">
        <f t="shared" si="3"/>
        <v>-4.814000000624219E-2</v>
      </c>
      <c r="K48">
        <f>+G48</f>
        <v>-4.814000000624219E-2</v>
      </c>
      <c r="O48">
        <f t="shared" ca="1" si="5"/>
        <v>-4.8162964521060142E-2</v>
      </c>
      <c r="P48" s="73">
        <f t="shared" si="6"/>
        <v>-4.8316454678631979E-2</v>
      </c>
      <c r="Q48" s="2">
        <f t="shared" si="7"/>
        <v>40951.004289999997</v>
      </c>
      <c r="R48" s="75">
        <f t="shared" si="8"/>
        <v>3.113625140818783E-8</v>
      </c>
      <c r="S48" s="75">
        <v>1</v>
      </c>
      <c r="T48" s="75">
        <f t="shared" si="9"/>
        <v>3.113625140818783E-8</v>
      </c>
    </row>
    <row r="49" spans="1:20">
      <c r="A49" s="38" t="s">
        <v>57</v>
      </c>
      <c r="B49" s="33" t="s">
        <v>43</v>
      </c>
      <c r="C49" s="32">
        <v>55984.569329999998</v>
      </c>
      <c r="D49" s="32">
        <v>2.0000000000000001E-4</v>
      </c>
      <c r="E49">
        <f t="shared" si="1"/>
        <v>8906.3826441735691</v>
      </c>
      <c r="F49">
        <f t="shared" si="2"/>
        <v>8906.5</v>
      </c>
      <c r="G49">
        <f t="shared" si="3"/>
        <v>-4.8438500001793727E-2</v>
      </c>
      <c r="K49">
        <f>+G49</f>
        <v>-4.8438500001793727E-2</v>
      </c>
      <c r="O49">
        <f t="shared" ca="1" si="5"/>
        <v>-4.8443581108708389E-2</v>
      </c>
      <c r="P49" s="73">
        <f t="shared" si="6"/>
        <v>-4.8571159232797617E-2</v>
      </c>
      <c r="Q49" s="2">
        <f t="shared" si="7"/>
        <v>40966.069329999998</v>
      </c>
      <c r="R49" s="75">
        <f t="shared" si="8"/>
        <v>1.7598471570543418E-8</v>
      </c>
      <c r="S49" s="75">
        <v>1</v>
      </c>
      <c r="T49" s="75">
        <f t="shared" si="9"/>
        <v>1.7598471570543418E-8</v>
      </c>
    </row>
    <row r="50" spans="1:20">
      <c r="A50" s="38" t="s">
        <v>58</v>
      </c>
      <c r="B50" s="33" t="s">
        <v>43</v>
      </c>
      <c r="C50" s="32">
        <v>56008.508300000001</v>
      </c>
      <c r="D50" s="32">
        <v>1.6999999999999999E-3</v>
      </c>
      <c r="E50">
        <f t="shared" si="1"/>
        <v>8964.3815006214409</v>
      </c>
      <c r="F50">
        <f t="shared" si="2"/>
        <v>8964.5</v>
      </c>
      <c r="G50">
        <f t="shared" si="3"/>
        <v>-4.8910500001511537E-2</v>
      </c>
      <c r="J50">
        <f>+G50</f>
        <v>-4.8910500001511537E-2</v>
      </c>
      <c r="O50">
        <f t="shared" ca="1" si="5"/>
        <v>-4.8889492398669993E-2</v>
      </c>
      <c r="P50" s="73">
        <f t="shared" si="6"/>
        <v>-4.8976978562499274E-2</v>
      </c>
      <c r="Q50" s="2">
        <f t="shared" si="7"/>
        <v>40990.008300000001</v>
      </c>
      <c r="R50" s="75">
        <f t="shared" si="8"/>
        <v>4.419399071000293E-9</v>
      </c>
      <c r="S50" s="75">
        <v>1</v>
      </c>
      <c r="T50" s="75">
        <f t="shared" si="9"/>
        <v>4.419399071000293E-9</v>
      </c>
    </row>
    <row r="51" spans="1:20">
      <c r="A51" s="38" t="s">
        <v>58</v>
      </c>
      <c r="B51" s="33" t="s">
        <v>42</v>
      </c>
      <c r="C51" s="32">
        <v>56010.3655</v>
      </c>
      <c r="D51" s="32">
        <v>2.0000000000000001E-4</v>
      </c>
      <c r="E51">
        <f t="shared" si="1"/>
        <v>8968.8810875374566</v>
      </c>
      <c r="F51">
        <f t="shared" si="2"/>
        <v>8969</v>
      </c>
      <c r="G51">
        <f t="shared" si="3"/>
        <v>-4.9081000004662201E-2</v>
      </c>
      <c r="J51">
        <f>+G51</f>
        <v>-4.9081000004662201E-2</v>
      </c>
      <c r="O51">
        <f t="shared" ca="1" si="5"/>
        <v>-4.892408896427046E-2</v>
      </c>
      <c r="P51" s="73">
        <f t="shared" si="6"/>
        <v>-4.9008520134355332E-2</v>
      </c>
      <c r="Q51" s="2">
        <f t="shared" si="7"/>
        <v>40991.8655</v>
      </c>
      <c r="R51" s="75">
        <f t="shared" si="8"/>
        <v>5.2533315997004826E-9</v>
      </c>
      <c r="S51" s="75">
        <v>1</v>
      </c>
      <c r="T51" s="75">
        <f t="shared" si="9"/>
        <v>5.2533315997004826E-9</v>
      </c>
    </row>
    <row r="52" spans="1:20">
      <c r="A52" s="38" t="s">
        <v>57</v>
      </c>
      <c r="B52" s="33" t="s">
        <v>43</v>
      </c>
      <c r="C52" s="32">
        <v>56404.322749999999</v>
      </c>
      <c r="D52" s="32">
        <v>5.0000000000000001E-4</v>
      </c>
      <c r="E52">
        <f t="shared" si="1"/>
        <v>9923.3528124840941</v>
      </c>
      <c r="F52">
        <f t="shared" si="2"/>
        <v>9923.5</v>
      </c>
      <c r="G52">
        <f t="shared" si="3"/>
        <v>-6.0751500001060776E-2</v>
      </c>
      <c r="K52">
        <f>+G52</f>
        <v>-6.0751500001060776E-2</v>
      </c>
      <c r="O52">
        <f t="shared" ca="1" si="5"/>
        <v>-5.6262404934414451E-2</v>
      </c>
      <c r="P52" s="73">
        <f t="shared" si="6"/>
        <v>-5.5879761008779637E-2</v>
      </c>
      <c r="Q52" s="2">
        <f t="shared" si="7"/>
        <v>41385.822749999999</v>
      </c>
      <c r="R52" s="75">
        <f t="shared" si="8"/>
        <v>2.3733840808912456E-5</v>
      </c>
      <c r="S52" s="75">
        <v>1</v>
      </c>
      <c r="T52" s="75">
        <f t="shared" si="9"/>
        <v>2.3733840808912456E-5</v>
      </c>
    </row>
    <row r="53" spans="1:20">
      <c r="A53" s="32" t="s">
        <v>60</v>
      </c>
      <c r="B53" s="33"/>
      <c r="C53" s="32">
        <v>56404.330329999997</v>
      </c>
      <c r="D53" s="32">
        <v>4.6000000000000001E-4</v>
      </c>
      <c r="E53">
        <f t="shared" si="1"/>
        <v>9923.3711771560793</v>
      </c>
      <c r="F53">
        <f t="shared" si="2"/>
        <v>9923.5</v>
      </c>
      <c r="G53">
        <f t="shared" si="3"/>
        <v>-5.3171500003372785E-2</v>
      </c>
      <c r="K53">
        <f>+G53</f>
        <v>-5.3171500003372785E-2</v>
      </c>
      <c r="O53">
        <f t="shared" ca="1" si="5"/>
        <v>-5.6262404934414451E-2</v>
      </c>
      <c r="P53" s="73">
        <f t="shared" si="6"/>
        <v>-5.5879761008779637E-2</v>
      </c>
      <c r="Q53" s="2">
        <f t="shared" si="7"/>
        <v>41385.830329999997</v>
      </c>
      <c r="R53" s="75">
        <f t="shared" si="8"/>
        <v>7.3346776734073331E-6</v>
      </c>
      <c r="S53" s="75">
        <v>1</v>
      </c>
      <c r="T53" s="75">
        <f t="shared" si="9"/>
        <v>7.3346776734073331E-6</v>
      </c>
    </row>
    <row r="54" spans="1:20">
      <c r="A54" s="32" t="s">
        <v>61</v>
      </c>
      <c r="B54" s="33" t="s">
        <v>43</v>
      </c>
      <c r="C54" s="54">
        <v>56701.502410000001</v>
      </c>
      <c r="D54" s="32">
        <v>2.0000000000000001E-4</v>
      </c>
      <c r="E54">
        <f t="shared" si="1"/>
        <v>10643.353733140477</v>
      </c>
      <c r="F54">
        <f t="shared" si="2"/>
        <v>10643.5</v>
      </c>
      <c r="G54">
        <f t="shared" si="3"/>
        <v>-6.0371500003384426E-2</v>
      </c>
      <c r="K54">
        <f>+G54</f>
        <v>-6.0371500003384426E-2</v>
      </c>
      <c r="O54">
        <f t="shared" ca="1" si="5"/>
        <v>-6.1797855430489532E-2</v>
      </c>
      <c r="P54" s="73">
        <f t="shared" si="6"/>
        <v>-6.1301182758920734E-2</v>
      </c>
      <c r="Q54" s="2">
        <f t="shared" si="7"/>
        <v>41683.002410000001</v>
      </c>
      <c r="R54" s="75">
        <f t="shared" si="8"/>
        <v>8.6431002594158308E-7</v>
      </c>
      <c r="S54" s="75">
        <v>1</v>
      </c>
      <c r="T54" s="75">
        <f t="shared" si="9"/>
        <v>8.6431002594158308E-7</v>
      </c>
    </row>
    <row r="55" spans="1:20">
      <c r="A55" s="52" t="s">
        <v>73</v>
      </c>
      <c r="B55" s="53"/>
      <c r="C55" s="52">
        <v>56712.438699999999</v>
      </c>
      <c r="D55" s="52">
        <v>2.0000000000000001E-4</v>
      </c>
      <c r="E55">
        <f t="shared" si="1"/>
        <v>10669.849957237926</v>
      </c>
      <c r="F55">
        <f t="shared" si="2"/>
        <v>10670</v>
      </c>
      <c r="G55">
        <f t="shared" si="3"/>
        <v>-6.1930000003485475E-2</v>
      </c>
      <c r="J55">
        <f>+G55</f>
        <v>-6.1930000003485475E-2</v>
      </c>
      <c r="O55">
        <f t="shared" ca="1" si="5"/>
        <v>-6.2001590761247852E-2</v>
      </c>
      <c r="P55" s="73">
        <f t="shared" si="6"/>
        <v>-6.1504631182324423E-2</v>
      </c>
      <c r="Q55" s="2">
        <f t="shared" si="7"/>
        <v>41693.938699999999</v>
      </c>
      <c r="R55" s="75">
        <f t="shared" si="8"/>
        <v>1.8093863401594238E-7</v>
      </c>
      <c r="S55" s="75">
        <v>1</v>
      </c>
      <c r="T55" s="75">
        <f t="shared" si="9"/>
        <v>1.8093863401594238E-7</v>
      </c>
    </row>
    <row r="56" spans="1:20">
      <c r="A56" s="58" t="s">
        <v>183</v>
      </c>
      <c r="B56" s="59" t="s">
        <v>43</v>
      </c>
      <c r="C56" s="60">
        <v>57123.328079999999</v>
      </c>
      <c r="D56" s="60">
        <v>2.0000000000000001E-4</v>
      </c>
      <c r="E56">
        <f t="shared" si="1"/>
        <v>11665.344507194439</v>
      </c>
      <c r="F56">
        <f t="shared" si="2"/>
        <v>11665.5</v>
      </c>
      <c r="G56">
        <f t="shared" si="3"/>
        <v>-6.4179500004684087E-2</v>
      </c>
      <c r="K56">
        <f t="shared" ref="K56:K61" si="10">+G56</f>
        <v>-6.4179500004684087E-2</v>
      </c>
      <c r="O56">
        <f t="shared" ca="1" si="5"/>
        <v>-6.9655119884640557E-2</v>
      </c>
      <c r="P56" s="73">
        <f t="shared" si="6"/>
        <v>-6.9348472786525256E-2</v>
      </c>
      <c r="Q56" s="2">
        <f t="shared" si="7"/>
        <v>42104.828079999999</v>
      </c>
      <c r="R56" s="75">
        <f t="shared" si="8"/>
        <v>2.6718279619414832E-5</v>
      </c>
      <c r="S56" s="75">
        <v>1</v>
      </c>
      <c r="T56" s="75">
        <f t="shared" si="9"/>
        <v>2.6718279619414832E-5</v>
      </c>
    </row>
    <row r="57" spans="1:20">
      <c r="A57" s="58" t="s">
        <v>183</v>
      </c>
      <c r="B57" s="59" t="s">
        <v>42</v>
      </c>
      <c r="C57" s="60">
        <v>57143.341099999998</v>
      </c>
      <c r="D57" s="60">
        <v>4.0000000000000002E-4</v>
      </c>
      <c r="E57">
        <f t="shared" si="1"/>
        <v>11713.831650712651</v>
      </c>
      <c r="F57">
        <f t="shared" si="2"/>
        <v>11714</v>
      </c>
      <c r="G57">
        <f t="shared" si="3"/>
        <v>-6.9486000000324566E-2</v>
      </c>
      <c r="K57">
        <f t="shared" si="10"/>
        <v>-6.9486000000324566E-2</v>
      </c>
      <c r="O57">
        <f t="shared" ca="1" si="5"/>
        <v>-7.002799398055673E-2</v>
      </c>
      <c r="P57" s="73">
        <f t="shared" si="6"/>
        <v>-6.9740626628332733E-2</v>
      </c>
      <c r="Q57" s="2">
        <f t="shared" si="7"/>
        <v>42124.841099999998</v>
      </c>
      <c r="R57" s="75">
        <f t="shared" si="8"/>
        <v>6.4834719690809537E-8</v>
      </c>
      <c r="S57" s="75">
        <v>1</v>
      </c>
      <c r="T57" s="75">
        <f t="shared" si="9"/>
        <v>6.4834719690809537E-8</v>
      </c>
    </row>
    <row r="58" spans="1:20">
      <c r="A58" s="58" t="s">
        <v>183</v>
      </c>
      <c r="B58" s="59" t="s">
        <v>42</v>
      </c>
      <c r="C58" s="60">
        <v>57464.454080000003</v>
      </c>
      <c r="D58" s="60">
        <v>4.0000000000000002E-4</v>
      </c>
      <c r="E58">
        <f t="shared" si="1"/>
        <v>12491.817739110213</v>
      </c>
      <c r="F58">
        <f t="shared" si="2"/>
        <v>12492</v>
      </c>
      <c r="G58">
        <f t="shared" si="3"/>
        <v>-7.5228000001516193E-2</v>
      </c>
      <c r="K58">
        <f t="shared" si="10"/>
        <v>-7.5228000001516193E-2</v>
      </c>
      <c r="O58">
        <f t="shared" ca="1" si="5"/>
        <v>-7.6009355766593414E-2</v>
      </c>
      <c r="P58" s="73">
        <f t="shared" si="6"/>
        <v>-7.6158352423832648E-2</v>
      </c>
      <c r="Q58" s="2">
        <f t="shared" si="7"/>
        <v>42445.954080000003</v>
      </c>
      <c r="R58" s="75">
        <f t="shared" si="8"/>
        <v>8.6555562971009536E-7</v>
      </c>
      <c r="S58" s="75">
        <v>1</v>
      </c>
      <c r="T58" s="75">
        <f t="shared" si="9"/>
        <v>8.6555562971009536E-7</v>
      </c>
    </row>
    <row r="59" spans="1:20">
      <c r="A59" s="61" t="s">
        <v>7</v>
      </c>
      <c r="B59" s="62" t="s">
        <v>42</v>
      </c>
      <c r="C59" s="63">
        <v>57465.4856</v>
      </c>
      <c r="D59" s="63">
        <v>1.1999999999999999E-3</v>
      </c>
      <c r="E59">
        <f t="shared" si="1"/>
        <v>12494.316885080274</v>
      </c>
      <c r="F59">
        <f t="shared" si="2"/>
        <v>12494.5</v>
      </c>
      <c r="G59">
        <f t="shared" si="3"/>
        <v>-7.5580500000796746E-2</v>
      </c>
      <c r="K59">
        <f t="shared" si="10"/>
        <v>-7.5580500000796746E-2</v>
      </c>
      <c r="O59">
        <f t="shared" ca="1" si="5"/>
        <v>-7.6028576080815896E-2</v>
      </c>
      <c r="P59" s="73">
        <f t="shared" si="6"/>
        <v>-7.6179360602788737E-2</v>
      </c>
      <c r="Q59" s="2">
        <f t="shared" si="7"/>
        <v>42446.9856</v>
      </c>
      <c r="R59" s="75">
        <f t="shared" si="8"/>
        <v>3.5863402061820943E-7</v>
      </c>
      <c r="S59" s="75">
        <v>1</v>
      </c>
      <c r="T59" s="75">
        <f t="shared" si="9"/>
        <v>3.5863402061820943E-7</v>
      </c>
    </row>
    <row r="60" spans="1:20">
      <c r="A60" s="60" t="s">
        <v>0</v>
      </c>
      <c r="B60" s="59" t="s">
        <v>42</v>
      </c>
      <c r="C60" s="60">
        <v>58190.047799999826</v>
      </c>
      <c r="D60" s="60" t="s">
        <v>19</v>
      </c>
      <c r="E60">
        <f>+(C60-C$7)/C$8</f>
        <v>14249.771652989646</v>
      </c>
      <c r="F60">
        <f t="shared" si="2"/>
        <v>14250</v>
      </c>
      <c r="G60">
        <f>+C60-(C$7+F60*C$8)</f>
        <v>-9.4250000176543836E-2</v>
      </c>
      <c r="K60">
        <f t="shared" si="10"/>
        <v>-9.4250000176543836E-2</v>
      </c>
      <c r="O60">
        <f ca="1">+C$11+C$12*$F60</f>
        <v>-8.9525080727843417E-2</v>
      </c>
      <c r="P60" s="73">
        <f t="shared" si="6"/>
        <v>-9.1541288643858423E-2</v>
      </c>
      <c r="Q60" s="2">
        <f>+C60-15018.5</f>
        <v>43171.547799999826</v>
      </c>
      <c r="R60" s="75">
        <f t="shared" si="8"/>
        <v>7.3371181673029548E-6</v>
      </c>
      <c r="S60" s="75">
        <v>1</v>
      </c>
      <c r="T60" s="75">
        <f t="shared" si="9"/>
        <v>7.3371181673029548E-6</v>
      </c>
    </row>
    <row r="61" spans="1:20">
      <c r="A61" s="79" t="s">
        <v>184</v>
      </c>
      <c r="B61" s="80" t="s">
        <v>42</v>
      </c>
      <c r="C61" s="81">
        <v>57754.610710000154</v>
      </c>
      <c r="D61" s="81">
        <v>2.0000000000000001E-4</v>
      </c>
      <c r="E61">
        <f>+(C61-C$7)/C$8</f>
        <v>13194.803403521635</v>
      </c>
      <c r="F61">
        <f t="shared" si="2"/>
        <v>13195</v>
      </c>
      <c r="G61">
        <f>+C61-(C$7+F61*C$8)</f>
        <v>-8.1144999850948807E-2</v>
      </c>
      <c r="K61">
        <f t="shared" si="10"/>
        <v>-8.1144999850948807E-2</v>
      </c>
      <c r="O61">
        <f ca="1">+C$11+C$12*$F61</f>
        <v>-8.141410812595562E-2</v>
      </c>
      <c r="P61" s="73">
        <f>+D$11+D$12*F61+D$13*F61^2</f>
        <v>-8.216318593979649E-2</v>
      </c>
      <c r="Q61" s="2">
        <f>+C61-15018.5</f>
        <v>42736.110710000154</v>
      </c>
      <c r="R61" s="75">
        <f>+(P61-G61)^2</f>
        <v>1.0367029115229427E-6</v>
      </c>
      <c r="S61" s="75">
        <v>1</v>
      </c>
      <c r="T61" s="75">
        <f>+S61*R61</f>
        <v>1.0367029115229427E-6</v>
      </c>
    </row>
    <row r="62" spans="1:20">
      <c r="C62" s="8"/>
      <c r="D62" s="8"/>
    </row>
    <row r="63" spans="1:20">
      <c r="C63" s="8"/>
      <c r="D63" s="8"/>
    </row>
    <row r="64" spans="1:20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</sheetData>
  <protectedRanges>
    <protectedRange sqref="A61:D61" name="Range1"/>
  </protectedRanges>
  <phoneticPr fontId="8" type="noConversion"/>
  <hyperlinks>
    <hyperlink ref="H1375" r:id="rId1" display="http://vsolj.cetus-net.org/bulletin.html"/>
    <hyperlink ref="H64515" r:id="rId2" display="http://vsolj.cetus-net.org/bulletin.html"/>
    <hyperlink ref="H64508" r:id="rId3" display="https://www.aavso.org/ejaavso"/>
    <hyperlink ref="I64515" r:id="rId4" display="http://vsolj.cetus-net.org/bulletin.html"/>
    <hyperlink ref="AQ58166" r:id="rId5" display="http://cdsbib.u-strasbg.fr/cgi-bin/cdsbib?1990RMxAA..21..381G"/>
    <hyperlink ref="H64512" r:id="rId6" display="https://www.aavso.org/ejaavso"/>
    <hyperlink ref="AP5530" r:id="rId7" display="http://cdsbib.u-strasbg.fr/cgi-bin/cdsbib?1990RMxAA..21..381G"/>
    <hyperlink ref="AP5533" r:id="rId8" display="http://cdsbib.u-strasbg.fr/cgi-bin/cdsbib?1990RMxAA..21..381G"/>
    <hyperlink ref="AP5531" r:id="rId9" display="http://cdsbib.u-strasbg.fr/cgi-bin/cdsbib?1990RMxAA..21..381G"/>
    <hyperlink ref="AP5515" r:id="rId10" display="http://cdsbib.u-strasbg.fr/cgi-bin/cdsbib?1990RMxAA..21..381G"/>
    <hyperlink ref="AQ5744" r:id="rId11" display="http://cdsbib.u-strasbg.fr/cgi-bin/cdsbib?1990RMxAA..21..381G"/>
    <hyperlink ref="AQ5748" r:id="rId12" display="http://cdsbib.u-strasbg.fr/cgi-bin/cdsbib?1990RMxAA..21..381G"/>
    <hyperlink ref="AQ65428" r:id="rId13" display="http://cdsbib.u-strasbg.fr/cgi-bin/cdsbib?1990RMxAA..21..381G"/>
    <hyperlink ref="I2636" r:id="rId14" display="http://vsolj.cetus-net.org/bulletin.html"/>
    <hyperlink ref="H2636" r:id="rId15" display="http://vsolj.cetus-net.org/bulletin.html"/>
    <hyperlink ref="AQ553" r:id="rId16" display="http://cdsbib.u-strasbg.fr/cgi-bin/cdsbib?1990RMxAA..21..381G"/>
    <hyperlink ref="AQ552" r:id="rId17" display="http://cdsbib.u-strasbg.fr/cgi-bin/cdsbib?1990RMxAA..21..381G"/>
    <hyperlink ref="AP3806" r:id="rId18" display="http://cdsbib.u-strasbg.fr/cgi-bin/cdsbib?1990RMxAA..21..381G"/>
    <hyperlink ref="AP3824" r:id="rId19" display="http://cdsbib.u-strasbg.fr/cgi-bin/cdsbib?1990RMxAA..21..381G"/>
    <hyperlink ref="AP3825" r:id="rId20" display="http://cdsbib.u-strasbg.fr/cgi-bin/cdsbib?1990RMxAA..21..381G"/>
    <hyperlink ref="AP3821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0"/>
  <sheetViews>
    <sheetView topLeftCell="A9" workbookViewId="0">
      <selection activeCell="A32" sqref="A32:D32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39" t="s">
        <v>62</v>
      </c>
      <c r="I1" s="40" t="s">
        <v>63</v>
      </c>
      <c r="J1" s="41" t="s">
        <v>64</v>
      </c>
    </row>
    <row r="2" spans="1:16">
      <c r="I2" s="42" t="s">
        <v>65</v>
      </c>
      <c r="J2" s="43" t="s">
        <v>66</v>
      </c>
    </row>
    <row r="3" spans="1:16">
      <c r="A3" s="44" t="s">
        <v>67</v>
      </c>
      <c r="I3" s="42" t="s">
        <v>68</v>
      </c>
      <c r="J3" s="43" t="s">
        <v>69</v>
      </c>
    </row>
    <row r="4" spans="1:16">
      <c r="I4" s="42" t="s">
        <v>70</v>
      </c>
      <c r="J4" s="43" t="s">
        <v>69</v>
      </c>
    </row>
    <row r="5" spans="1:16" ht="13.5" thickBot="1">
      <c r="I5" s="45" t="s">
        <v>71</v>
      </c>
      <c r="J5" s="46" t="s">
        <v>72</v>
      </c>
    </row>
    <row r="10" spans="1:16" ht="13.5" thickBot="1"/>
    <row r="11" spans="1:16" ht="12.75" customHeight="1" thickBot="1">
      <c r="A11" s="8" t="str">
        <f t="shared" ref="A11:A32" si="0">P11</f>
        <v>BAVM 241 (=IBVS 6157) </v>
      </c>
      <c r="B11" s="3" t="str">
        <f t="shared" ref="B11:B32" si="1">IF(H11=INT(H11),"I","II")</f>
        <v>I</v>
      </c>
      <c r="C11" s="8">
        <f t="shared" ref="C11:C32" si="2">1*G11</f>
        <v>56712.438699999999</v>
      </c>
      <c r="D11" s="10" t="str">
        <f t="shared" ref="D11:D32" si="3">VLOOKUP(F11,I$1:J$5,2,FALSE)</f>
        <v>vis</v>
      </c>
      <c r="E11" s="47">
        <f>VLOOKUP(C11,Active!C$21:E$973,3,FALSE)</f>
        <v>10669.849957237926</v>
      </c>
      <c r="F11" s="3" t="s">
        <v>71</v>
      </c>
      <c r="G11" s="10" t="str">
        <f t="shared" ref="G11:G32" si="4">MID(I11,3,LEN(I11)-3)</f>
        <v>56712.4387</v>
      </c>
      <c r="H11" s="8">
        <f t="shared" ref="H11:H32" si="5">1*K11</f>
        <v>10670</v>
      </c>
      <c r="I11" s="48" t="s">
        <v>178</v>
      </c>
      <c r="J11" s="49" t="s">
        <v>179</v>
      </c>
      <c r="K11" s="48" t="s">
        <v>180</v>
      </c>
      <c r="L11" s="48" t="s">
        <v>181</v>
      </c>
      <c r="M11" s="49" t="s">
        <v>77</v>
      </c>
      <c r="N11" s="49" t="s">
        <v>154</v>
      </c>
      <c r="O11" s="50" t="s">
        <v>155</v>
      </c>
      <c r="P11" s="51" t="s">
        <v>182</v>
      </c>
    </row>
    <row r="12" spans="1:16" ht="12.75" customHeight="1" thickBot="1">
      <c r="A12" s="8" t="str">
        <f t="shared" si="0"/>
        <v>IBVS 5438 </v>
      </c>
      <c r="B12" s="3" t="str">
        <f t="shared" si="1"/>
        <v>I</v>
      </c>
      <c r="C12" s="8">
        <f t="shared" si="2"/>
        <v>52691.493000000002</v>
      </c>
      <c r="D12" s="10" t="str">
        <f t="shared" si="3"/>
        <v>vis</v>
      </c>
      <c r="E12" s="47">
        <f>VLOOKUP(C12,Active!C$21:E$973,3,FALSE)</f>
        <v>927.98335065620961</v>
      </c>
      <c r="F12" s="3" t="s">
        <v>71</v>
      </c>
      <c r="G12" s="10" t="str">
        <f t="shared" si="4"/>
        <v>52691.493</v>
      </c>
      <c r="H12" s="8">
        <f t="shared" si="5"/>
        <v>928</v>
      </c>
      <c r="I12" s="48" t="s">
        <v>74</v>
      </c>
      <c r="J12" s="49" t="s">
        <v>75</v>
      </c>
      <c r="K12" s="48">
        <v>928</v>
      </c>
      <c r="L12" s="48" t="s">
        <v>76</v>
      </c>
      <c r="M12" s="49" t="s">
        <v>77</v>
      </c>
      <c r="N12" s="49" t="s">
        <v>78</v>
      </c>
      <c r="O12" s="50" t="s">
        <v>79</v>
      </c>
      <c r="P12" s="51" t="s">
        <v>80</v>
      </c>
    </row>
    <row r="13" spans="1:16" ht="12.75" customHeight="1" thickBot="1">
      <c r="A13" s="8" t="str">
        <f t="shared" si="0"/>
        <v>IBVS 5543 </v>
      </c>
      <c r="B13" s="3" t="str">
        <f t="shared" si="1"/>
        <v>I</v>
      </c>
      <c r="C13" s="8">
        <f t="shared" si="2"/>
        <v>53068.330999999998</v>
      </c>
      <c r="D13" s="10" t="str">
        <f t="shared" si="3"/>
        <v>vis</v>
      </c>
      <c r="E13" s="47">
        <f>VLOOKUP(C13,Active!C$21:E$973,3,FALSE)</f>
        <v>1840.978900009439</v>
      </c>
      <c r="F13" s="3" t="s">
        <v>71</v>
      </c>
      <c r="G13" s="10" t="str">
        <f t="shared" si="4"/>
        <v>53068.331</v>
      </c>
      <c r="H13" s="8">
        <f t="shared" si="5"/>
        <v>1841</v>
      </c>
      <c r="I13" s="48" t="s">
        <v>81</v>
      </c>
      <c r="J13" s="49" t="s">
        <v>82</v>
      </c>
      <c r="K13" s="48">
        <v>1841</v>
      </c>
      <c r="L13" s="48" t="s">
        <v>83</v>
      </c>
      <c r="M13" s="49" t="s">
        <v>77</v>
      </c>
      <c r="N13" s="49" t="s">
        <v>78</v>
      </c>
      <c r="O13" s="50" t="s">
        <v>79</v>
      </c>
      <c r="P13" s="51" t="s">
        <v>84</v>
      </c>
    </row>
    <row r="14" spans="1:16" ht="12.75" customHeight="1" thickBot="1">
      <c r="A14" s="8" t="str">
        <f t="shared" si="0"/>
        <v>IBVS 5543 </v>
      </c>
      <c r="B14" s="3" t="str">
        <f t="shared" si="1"/>
        <v>II</v>
      </c>
      <c r="C14" s="8">
        <f t="shared" si="2"/>
        <v>53068.536599999999</v>
      </c>
      <c r="D14" s="10" t="str">
        <f t="shared" si="3"/>
        <v>vis</v>
      </c>
      <c r="E14" s="47">
        <f>VLOOKUP(C14,Active!C$21:E$973,3,FALSE)</f>
        <v>1841.4770235663736</v>
      </c>
      <c r="F14" s="3" t="s">
        <v>71</v>
      </c>
      <c r="G14" s="10" t="str">
        <f t="shared" si="4"/>
        <v>53068.5366</v>
      </c>
      <c r="H14" s="8">
        <f t="shared" si="5"/>
        <v>1841.5</v>
      </c>
      <c r="I14" s="48" t="s">
        <v>85</v>
      </c>
      <c r="J14" s="49" t="s">
        <v>86</v>
      </c>
      <c r="K14" s="48">
        <v>1841.5</v>
      </c>
      <c r="L14" s="48" t="s">
        <v>87</v>
      </c>
      <c r="M14" s="49" t="s">
        <v>77</v>
      </c>
      <c r="N14" s="49" t="s">
        <v>78</v>
      </c>
      <c r="O14" s="50" t="s">
        <v>79</v>
      </c>
      <c r="P14" s="51" t="s">
        <v>84</v>
      </c>
    </row>
    <row r="15" spans="1:16" ht="12.75" customHeight="1" thickBot="1">
      <c r="A15" s="8" t="str">
        <f t="shared" si="0"/>
        <v>IBVS 5653 </v>
      </c>
      <c r="B15" s="3" t="str">
        <f t="shared" si="1"/>
        <v>I</v>
      </c>
      <c r="C15" s="8">
        <f t="shared" si="2"/>
        <v>53463.324999999997</v>
      </c>
      <c r="D15" s="10" t="str">
        <f t="shared" si="3"/>
        <v>vis</v>
      </c>
      <c r="E15" s="47">
        <f>VLOOKUP(C15,Active!C$21:E$973,3,FALSE)</f>
        <v>2797.9624420652617</v>
      </c>
      <c r="F15" s="3" t="s">
        <v>71</v>
      </c>
      <c r="G15" s="10" t="str">
        <f t="shared" si="4"/>
        <v>53463.325</v>
      </c>
      <c r="H15" s="8">
        <f t="shared" si="5"/>
        <v>2798</v>
      </c>
      <c r="I15" s="48" t="s">
        <v>88</v>
      </c>
      <c r="J15" s="49" t="s">
        <v>89</v>
      </c>
      <c r="K15" s="48">
        <v>2798</v>
      </c>
      <c r="L15" s="48" t="s">
        <v>90</v>
      </c>
      <c r="M15" s="49" t="s">
        <v>77</v>
      </c>
      <c r="N15" s="49" t="s">
        <v>78</v>
      </c>
      <c r="O15" s="50" t="s">
        <v>79</v>
      </c>
      <c r="P15" s="51" t="s">
        <v>91</v>
      </c>
    </row>
    <row r="16" spans="1:16" ht="12.75" customHeight="1" thickBot="1">
      <c r="A16" s="8" t="str">
        <f t="shared" si="0"/>
        <v>IBVS 5713 </v>
      </c>
      <c r="B16" s="3" t="str">
        <f t="shared" si="1"/>
        <v>I</v>
      </c>
      <c r="C16" s="8">
        <f t="shared" si="2"/>
        <v>53788.567600000002</v>
      </c>
      <c r="D16" s="10" t="str">
        <f t="shared" si="3"/>
        <v>vis</v>
      </c>
      <c r="E16" s="47">
        <f>VLOOKUP(C16,Active!C$21:E$973,3,FALSE)</f>
        <v>3585.9536909841086</v>
      </c>
      <c r="F16" s="3" t="s">
        <v>71</v>
      </c>
      <c r="G16" s="10" t="str">
        <f t="shared" si="4"/>
        <v>53788.5676</v>
      </c>
      <c r="H16" s="8">
        <f t="shared" si="5"/>
        <v>3586</v>
      </c>
      <c r="I16" s="48" t="s">
        <v>92</v>
      </c>
      <c r="J16" s="49" t="s">
        <v>93</v>
      </c>
      <c r="K16" s="48">
        <v>3586</v>
      </c>
      <c r="L16" s="48" t="s">
        <v>94</v>
      </c>
      <c r="M16" s="49" t="s">
        <v>95</v>
      </c>
      <c r="N16" s="49" t="s">
        <v>78</v>
      </c>
      <c r="O16" s="50" t="s">
        <v>79</v>
      </c>
      <c r="P16" s="51" t="s">
        <v>96</v>
      </c>
    </row>
    <row r="17" spans="1:16" ht="12.75" customHeight="1" thickBot="1">
      <c r="A17" s="8" t="str">
        <f t="shared" si="0"/>
        <v>BAVM 201 </v>
      </c>
      <c r="B17" s="3" t="str">
        <f t="shared" si="1"/>
        <v>I</v>
      </c>
      <c r="C17" s="8">
        <f t="shared" si="2"/>
        <v>54148.479399999997</v>
      </c>
      <c r="D17" s="10" t="str">
        <f t="shared" si="3"/>
        <v>vis</v>
      </c>
      <c r="E17" s="47">
        <f>VLOOKUP(C17,Active!C$21:E$973,3,FALSE)</f>
        <v>4457.9407824125419</v>
      </c>
      <c r="F17" s="3" t="s">
        <v>71</v>
      </c>
      <c r="G17" s="10" t="str">
        <f t="shared" si="4"/>
        <v>54148.4794</v>
      </c>
      <c r="H17" s="8">
        <f t="shared" si="5"/>
        <v>4458</v>
      </c>
      <c r="I17" s="48" t="s">
        <v>97</v>
      </c>
      <c r="J17" s="49" t="s">
        <v>98</v>
      </c>
      <c r="K17" s="48">
        <v>4458</v>
      </c>
      <c r="L17" s="48" t="s">
        <v>99</v>
      </c>
      <c r="M17" s="49" t="s">
        <v>77</v>
      </c>
      <c r="N17" s="49" t="s">
        <v>100</v>
      </c>
      <c r="O17" s="50" t="s">
        <v>101</v>
      </c>
      <c r="P17" s="51" t="s">
        <v>102</v>
      </c>
    </row>
    <row r="18" spans="1:16" ht="12.75" customHeight="1" thickBot="1">
      <c r="A18" s="8" t="str">
        <f t="shared" si="0"/>
        <v>IBVS 5781 </v>
      </c>
      <c r="B18" s="3" t="str">
        <f t="shared" si="1"/>
        <v>I</v>
      </c>
      <c r="C18" s="8">
        <f t="shared" si="2"/>
        <v>54172.4182</v>
      </c>
      <c r="D18" s="10" t="str">
        <f t="shared" si="3"/>
        <v>vis</v>
      </c>
      <c r="E18" s="47">
        <f>VLOOKUP(C18,Active!C$21:E$973,3,FALSE)</f>
        <v>4515.9392269878254</v>
      </c>
      <c r="F18" s="3" t="s">
        <v>71</v>
      </c>
      <c r="G18" s="10" t="str">
        <f t="shared" si="4"/>
        <v>54172.4182</v>
      </c>
      <c r="H18" s="8">
        <f t="shared" si="5"/>
        <v>4516</v>
      </c>
      <c r="I18" s="48" t="s">
        <v>103</v>
      </c>
      <c r="J18" s="49" t="s">
        <v>104</v>
      </c>
      <c r="K18" s="48" t="s">
        <v>105</v>
      </c>
      <c r="L18" s="48" t="s">
        <v>106</v>
      </c>
      <c r="M18" s="49" t="s">
        <v>77</v>
      </c>
      <c r="N18" s="49" t="s">
        <v>63</v>
      </c>
      <c r="O18" s="50" t="s">
        <v>79</v>
      </c>
      <c r="P18" s="51" t="s">
        <v>107</v>
      </c>
    </row>
    <row r="19" spans="1:16" ht="12.75" customHeight="1" thickBot="1">
      <c r="A19" s="8" t="str">
        <f t="shared" si="0"/>
        <v>BAVM 209 </v>
      </c>
      <c r="B19" s="3" t="str">
        <f t="shared" si="1"/>
        <v>I</v>
      </c>
      <c r="C19" s="8">
        <f t="shared" si="2"/>
        <v>54512.520900000003</v>
      </c>
      <c r="D19" s="10" t="str">
        <f t="shared" si="3"/>
        <v>vis</v>
      </c>
      <c r="E19" s="47">
        <f>VLOOKUP(C19,Active!C$21:E$973,3,FALSE)</f>
        <v>5339.9332281846855</v>
      </c>
      <c r="F19" s="3" t="s">
        <v>71</v>
      </c>
      <c r="G19" s="10" t="str">
        <f t="shared" si="4"/>
        <v>54512.5209</v>
      </c>
      <c r="H19" s="8">
        <f t="shared" si="5"/>
        <v>5340</v>
      </c>
      <c r="I19" s="48" t="s">
        <v>108</v>
      </c>
      <c r="J19" s="49" t="s">
        <v>109</v>
      </c>
      <c r="K19" s="48" t="s">
        <v>110</v>
      </c>
      <c r="L19" s="48" t="s">
        <v>111</v>
      </c>
      <c r="M19" s="49" t="s">
        <v>77</v>
      </c>
      <c r="N19" s="49" t="s">
        <v>100</v>
      </c>
      <c r="O19" s="50" t="s">
        <v>101</v>
      </c>
      <c r="P19" s="51" t="s">
        <v>112</v>
      </c>
    </row>
    <row r="20" spans="1:16" ht="12.75" customHeight="1" thickBot="1">
      <c r="A20" s="8" t="str">
        <f t="shared" si="0"/>
        <v>BAVM 209 </v>
      </c>
      <c r="B20" s="3" t="str">
        <f t="shared" si="1"/>
        <v>II</v>
      </c>
      <c r="C20" s="8">
        <f t="shared" si="2"/>
        <v>54908.548699999999</v>
      </c>
      <c r="D20" s="10" t="str">
        <f t="shared" si="3"/>
        <v>vis</v>
      </c>
      <c r="E20" s="47">
        <f>VLOOKUP(C20,Active!C$21:E$973,3,FALSE)</f>
        <v>6299.4214401488489</v>
      </c>
      <c r="F20" s="3" t="s">
        <v>71</v>
      </c>
      <c r="G20" s="10" t="str">
        <f t="shared" si="4"/>
        <v>54908.5487</v>
      </c>
      <c r="H20" s="8">
        <f t="shared" si="5"/>
        <v>6299.5</v>
      </c>
      <c r="I20" s="48" t="s">
        <v>113</v>
      </c>
      <c r="J20" s="49" t="s">
        <v>114</v>
      </c>
      <c r="K20" s="48" t="s">
        <v>115</v>
      </c>
      <c r="L20" s="48" t="s">
        <v>116</v>
      </c>
      <c r="M20" s="49" t="s">
        <v>77</v>
      </c>
      <c r="N20" s="49" t="s">
        <v>100</v>
      </c>
      <c r="O20" s="50" t="s">
        <v>117</v>
      </c>
      <c r="P20" s="51" t="s">
        <v>112</v>
      </c>
    </row>
    <row r="21" spans="1:16" ht="12.75" customHeight="1" thickBot="1">
      <c r="A21" s="8" t="str">
        <f t="shared" si="0"/>
        <v>IBVS 5894 </v>
      </c>
      <c r="B21" s="3" t="str">
        <f t="shared" si="1"/>
        <v>I</v>
      </c>
      <c r="C21" s="8">
        <f t="shared" si="2"/>
        <v>55000.387000000002</v>
      </c>
      <c r="D21" s="10" t="str">
        <f t="shared" si="3"/>
        <v>vis</v>
      </c>
      <c r="E21" s="47">
        <f>VLOOKUP(C21,Active!C$21:E$973,3,FALSE)</f>
        <v>6521.9254316788174</v>
      </c>
      <c r="F21" s="3" t="s">
        <v>71</v>
      </c>
      <c r="G21" s="10" t="str">
        <f t="shared" si="4"/>
        <v>55000.387</v>
      </c>
      <c r="H21" s="8">
        <f t="shared" si="5"/>
        <v>6522</v>
      </c>
      <c r="I21" s="48" t="s">
        <v>118</v>
      </c>
      <c r="J21" s="49" t="s">
        <v>119</v>
      </c>
      <c r="K21" s="48" t="s">
        <v>120</v>
      </c>
      <c r="L21" s="48" t="s">
        <v>121</v>
      </c>
      <c r="M21" s="49" t="s">
        <v>77</v>
      </c>
      <c r="N21" s="49" t="s">
        <v>63</v>
      </c>
      <c r="O21" s="50" t="s">
        <v>79</v>
      </c>
      <c r="P21" s="51" t="s">
        <v>122</v>
      </c>
    </row>
    <row r="22" spans="1:16" ht="12.75" customHeight="1" thickBot="1">
      <c r="A22" s="8" t="str">
        <f t="shared" si="0"/>
        <v>OEJV 0160 </v>
      </c>
      <c r="B22" s="3" t="str">
        <f t="shared" si="1"/>
        <v>II</v>
      </c>
      <c r="C22" s="8">
        <f t="shared" si="2"/>
        <v>55615.57821</v>
      </c>
      <c r="D22" s="10" t="str">
        <f t="shared" si="3"/>
        <v>vis</v>
      </c>
      <c r="E22" s="47">
        <f>VLOOKUP(C22,Active!C$21:E$973,3,FALSE)</f>
        <v>8012.3983583243025</v>
      </c>
      <c r="F22" s="3" t="s">
        <v>71</v>
      </c>
      <c r="G22" s="10" t="str">
        <f t="shared" si="4"/>
        <v>55615.57821</v>
      </c>
      <c r="H22" s="8">
        <f t="shared" si="5"/>
        <v>8012.5</v>
      </c>
      <c r="I22" s="48" t="s">
        <v>123</v>
      </c>
      <c r="J22" s="49" t="s">
        <v>124</v>
      </c>
      <c r="K22" s="48" t="s">
        <v>125</v>
      </c>
      <c r="L22" s="48" t="s">
        <v>126</v>
      </c>
      <c r="M22" s="49" t="s">
        <v>77</v>
      </c>
      <c r="N22" s="49" t="s">
        <v>127</v>
      </c>
      <c r="O22" s="50" t="s">
        <v>128</v>
      </c>
      <c r="P22" s="51" t="s">
        <v>129</v>
      </c>
    </row>
    <row r="23" spans="1:16" ht="12.75" customHeight="1" thickBot="1">
      <c r="A23" s="8" t="str">
        <f t="shared" si="0"/>
        <v>OEJV 0160 </v>
      </c>
      <c r="B23" s="3" t="str">
        <f t="shared" si="1"/>
        <v>I</v>
      </c>
      <c r="C23" s="8">
        <f t="shared" si="2"/>
        <v>55616.608419999997</v>
      </c>
      <c r="D23" s="10" t="str">
        <f t="shared" si="3"/>
        <v>vis</v>
      </c>
      <c r="E23" s="47">
        <f>VLOOKUP(C23,Active!C$21:E$973,3,FALSE)</f>
        <v>8014.8943304526347</v>
      </c>
      <c r="F23" s="3" t="s">
        <v>71</v>
      </c>
      <c r="G23" s="10" t="str">
        <f t="shared" si="4"/>
        <v>55616.60842</v>
      </c>
      <c r="H23" s="8">
        <f t="shared" si="5"/>
        <v>8015</v>
      </c>
      <c r="I23" s="48" t="s">
        <v>130</v>
      </c>
      <c r="J23" s="49" t="s">
        <v>131</v>
      </c>
      <c r="K23" s="48" t="s">
        <v>132</v>
      </c>
      <c r="L23" s="48" t="s">
        <v>133</v>
      </c>
      <c r="M23" s="49" t="s">
        <v>77</v>
      </c>
      <c r="N23" s="49" t="s">
        <v>127</v>
      </c>
      <c r="O23" s="50" t="s">
        <v>128</v>
      </c>
      <c r="P23" s="51" t="s">
        <v>129</v>
      </c>
    </row>
    <row r="24" spans="1:16" ht="12.75" customHeight="1" thickBot="1">
      <c r="A24" s="8" t="str">
        <f t="shared" si="0"/>
        <v>BAVM 220 </v>
      </c>
      <c r="B24" s="3" t="str">
        <f t="shared" si="1"/>
        <v>I</v>
      </c>
      <c r="C24" s="8">
        <f t="shared" si="2"/>
        <v>55624.451699999998</v>
      </c>
      <c r="D24" s="10" t="str">
        <f t="shared" si="3"/>
        <v>vis</v>
      </c>
      <c r="E24" s="47">
        <f>VLOOKUP(C24,Active!C$21:E$973,3,FALSE)</f>
        <v>8033.8968719488012</v>
      </c>
      <c r="F24" s="3" t="s">
        <v>71</v>
      </c>
      <c r="G24" s="10" t="str">
        <f t="shared" si="4"/>
        <v>55624.4517</v>
      </c>
      <c r="H24" s="8">
        <f t="shared" si="5"/>
        <v>8034</v>
      </c>
      <c r="I24" s="48" t="s">
        <v>134</v>
      </c>
      <c r="J24" s="49" t="s">
        <v>135</v>
      </c>
      <c r="K24" s="48" t="s">
        <v>136</v>
      </c>
      <c r="L24" s="48" t="s">
        <v>137</v>
      </c>
      <c r="M24" s="49" t="s">
        <v>77</v>
      </c>
      <c r="N24" s="49" t="s">
        <v>100</v>
      </c>
      <c r="O24" s="50" t="s">
        <v>117</v>
      </c>
      <c r="P24" s="51" t="s">
        <v>138</v>
      </c>
    </row>
    <row r="25" spans="1:16" ht="12.75" customHeight="1" thickBot="1">
      <c r="A25" s="8" t="str">
        <f t="shared" si="0"/>
        <v>OEJV 0160 </v>
      </c>
      <c r="B25" s="3" t="str">
        <f t="shared" si="1"/>
        <v>II</v>
      </c>
      <c r="C25" s="8">
        <f t="shared" si="2"/>
        <v>55625.483800000002</v>
      </c>
      <c r="D25" s="10" t="str">
        <f t="shared" si="3"/>
        <v>vis</v>
      </c>
      <c r="E25" s="47">
        <f>VLOOKUP(C25,Active!C$21:E$973,3,FALSE)</f>
        <v>8036.3974231312486</v>
      </c>
      <c r="F25" s="3" t="s">
        <v>71</v>
      </c>
      <c r="G25" s="10" t="str">
        <f t="shared" si="4"/>
        <v>55625.4838</v>
      </c>
      <c r="H25" s="8">
        <f t="shared" si="5"/>
        <v>8036.5</v>
      </c>
      <c r="I25" s="48" t="s">
        <v>139</v>
      </c>
      <c r="J25" s="49" t="s">
        <v>140</v>
      </c>
      <c r="K25" s="48" t="s">
        <v>141</v>
      </c>
      <c r="L25" s="48" t="s">
        <v>142</v>
      </c>
      <c r="M25" s="49" t="s">
        <v>77</v>
      </c>
      <c r="N25" s="49" t="s">
        <v>63</v>
      </c>
      <c r="O25" s="50" t="s">
        <v>143</v>
      </c>
      <c r="P25" s="51" t="s">
        <v>129</v>
      </c>
    </row>
    <row r="26" spans="1:16" ht="12.75" customHeight="1" thickBot="1">
      <c r="A26" s="8" t="str">
        <f t="shared" si="0"/>
        <v>BAVM 234 </v>
      </c>
      <c r="B26" s="3" t="str">
        <f t="shared" si="1"/>
        <v>I</v>
      </c>
      <c r="C26" s="8">
        <f t="shared" si="2"/>
        <v>55942.6757</v>
      </c>
      <c r="D26" s="10" t="str">
        <f t="shared" si="3"/>
        <v>vis</v>
      </c>
      <c r="E26" s="47">
        <f>VLOOKUP(C26,Active!C$21:E$973,3,FALSE)</f>
        <v>8804.8835975374805</v>
      </c>
      <c r="F26" s="3" t="s">
        <v>71</v>
      </c>
      <c r="G26" s="10" t="str">
        <f t="shared" si="4"/>
        <v>55942.6757</v>
      </c>
      <c r="H26" s="8">
        <f t="shared" si="5"/>
        <v>8805</v>
      </c>
      <c r="I26" s="48" t="s">
        <v>150</v>
      </c>
      <c r="J26" s="49" t="s">
        <v>151</v>
      </c>
      <c r="K26" s="48" t="s">
        <v>152</v>
      </c>
      <c r="L26" s="48" t="s">
        <v>153</v>
      </c>
      <c r="M26" s="49" t="s">
        <v>77</v>
      </c>
      <c r="N26" s="49" t="s">
        <v>154</v>
      </c>
      <c r="O26" s="50" t="s">
        <v>155</v>
      </c>
      <c r="P26" s="51" t="s">
        <v>156</v>
      </c>
    </row>
    <row r="27" spans="1:16" ht="12.75" customHeight="1" thickBot="1">
      <c r="A27" s="8" t="str">
        <f t="shared" si="0"/>
        <v>OEJV 0160 </v>
      </c>
      <c r="B27" s="3" t="str">
        <f t="shared" si="1"/>
        <v>I</v>
      </c>
      <c r="C27" s="8">
        <f t="shared" si="2"/>
        <v>55969.504289999997</v>
      </c>
      <c r="D27" s="10" t="str">
        <f t="shared" si="3"/>
        <v>vis</v>
      </c>
      <c r="E27" s="47">
        <f>VLOOKUP(C27,Active!C$21:E$973,3,FALSE)</f>
        <v>8869.8833673733789</v>
      </c>
      <c r="F27" s="3" t="s">
        <v>71</v>
      </c>
      <c r="G27" s="10" t="str">
        <f t="shared" si="4"/>
        <v>55969.50429</v>
      </c>
      <c r="H27" s="8">
        <f t="shared" si="5"/>
        <v>8870</v>
      </c>
      <c r="I27" s="48" t="s">
        <v>157</v>
      </c>
      <c r="J27" s="49" t="s">
        <v>158</v>
      </c>
      <c r="K27" s="48" t="s">
        <v>159</v>
      </c>
      <c r="L27" s="48" t="s">
        <v>160</v>
      </c>
      <c r="M27" s="49" t="s">
        <v>77</v>
      </c>
      <c r="N27" s="49" t="s">
        <v>127</v>
      </c>
      <c r="O27" s="50" t="s">
        <v>128</v>
      </c>
      <c r="P27" s="51" t="s">
        <v>129</v>
      </c>
    </row>
    <row r="28" spans="1:16" ht="12.75" customHeight="1" thickBot="1">
      <c r="A28" s="8" t="str">
        <f t="shared" si="0"/>
        <v>OEJV 0160 </v>
      </c>
      <c r="B28" s="3" t="str">
        <f t="shared" si="1"/>
        <v>II</v>
      </c>
      <c r="C28" s="8">
        <f t="shared" si="2"/>
        <v>55984.569329999998</v>
      </c>
      <c r="D28" s="10" t="str">
        <f t="shared" si="3"/>
        <v>vis</v>
      </c>
      <c r="E28" s="47">
        <f>VLOOKUP(C28,Active!C$21:E$973,3,FALSE)</f>
        <v>8906.3826441735691</v>
      </c>
      <c r="F28" s="3" t="s">
        <v>71</v>
      </c>
      <c r="G28" s="10" t="str">
        <f t="shared" si="4"/>
        <v>55984.56933</v>
      </c>
      <c r="H28" s="8">
        <f t="shared" si="5"/>
        <v>8906.5</v>
      </c>
      <c r="I28" s="48" t="s">
        <v>161</v>
      </c>
      <c r="J28" s="49" t="s">
        <v>162</v>
      </c>
      <c r="K28" s="48" t="s">
        <v>163</v>
      </c>
      <c r="L28" s="48" t="s">
        <v>164</v>
      </c>
      <c r="M28" s="49" t="s">
        <v>77</v>
      </c>
      <c r="N28" s="49" t="s">
        <v>127</v>
      </c>
      <c r="O28" s="50" t="s">
        <v>128</v>
      </c>
      <c r="P28" s="51" t="s">
        <v>129</v>
      </c>
    </row>
    <row r="29" spans="1:16" ht="12.75" customHeight="1" thickBot="1">
      <c r="A29" s="8" t="str">
        <f t="shared" si="0"/>
        <v>BAVM 228 </v>
      </c>
      <c r="B29" s="3" t="str">
        <f t="shared" si="1"/>
        <v>II</v>
      </c>
      <c r="C29" s="8">
        <f t="shared" si="2"/>
        <v>56008.508300000001</v>
      </c>
      <c r="D29" s="10" t="str">
        <f t="shared" si="3"/>
        <v>vis</v>
      </c>
      <c r="E29" s="47">
        <f>VLOOKUP(C29,Active!C$21:E$973,3,FALSE)</f>
        <v>8964.3815006214409</v>
      </c>
      <c r="F29" s="3" t="s">
        <v>71</v>
      </c>
      <c r="G29" s="10" t="str">
        <f t="shared" si="4"/>
        <v>56008.5083</v>
      </c>
      <c r="H29" s="8">
        <f t="shared" si="5"/>
        <v>8964.5</v>
      </c>
      <c r="I29" s="48" t="s">
        <v>165</v>
      </c>
      <c r="J29" s="49" t="s">
        <v>166</v>
      </c>
      <c r="K29" s="48" t="s">
        <v>167</v>
      </c>
      <c r="L29" s="48" t="s">
        <v>168</v>
      </c>
      <c r="M29" s="49" t="s">
        <v>77</v>
      </c>
      <c r="N29" s="49" t="s">
        <v>100</v>
      </c>
      <c r="O29" s="50" t="s">
        <v>117</v>
      </c>
      <c r="P29" s="51" t="s">
        <v>169</v>
      </c>
    </row>
    <row r="30" spans="1:16" ht="12.75" customHeight="1" thickBot="1">
      <c r="A30" s="8" t="str">
        <f t="shared" si="0"/>
        <v>BAVM 228 </v>
      </c>
      <c r="B30" s="3" t="str">
        <f t="shared" si="1"/>
        <v>I</v>
      </c>
      <c r="C30" s="8">
        <f t="shared" si="2"/>
        <v>56010.3655</v>
      </c>
      <c r="D30" s="10" t="str">
        <f t="shared" si="3"/>
        <v>vis</v>
      </c>
      <c r="E30" s="47">
        <f>VLOOKUP(C30,Active!C$21:E$973,3,FALSE)</f>
        <v>8968.8810875374566</v>
      </c>
      <c r="F30" s="3" t="s">
        <v>71</v>
      </c>
      <c r="G30" s="10" t="str">
        <f t="shared" si="4"/>
        <v>56010.3655</v>
      </c>
      <c r="H30" s="8">
        <f t="shared" si="5"/>
        <v>8969</v>
      </c>
      <c r="I30" s="48" t="s">
        <v>170</v>
      </c>
      <c r="J30" s="49" t="s">
        <v>171</v>
      </c>
      <c r="K30" s="48" t="s">
        <v>172</v>
      </c>
      <c r="L30" s="48" t="s">
        <v>173</v>
      </c>
      <c r="M30" s="49" t="s">
        <v>77</v>
      </c>
      <c r="N30" s="49" t="s">
        <v>154</v>
      </c>
      <c r="O30" s="50" t="s">
        <v>155</v>
      </c>
      <c r="P30" s="51" t="s">
        <v>169</v>
      </c>
    </row>
    <row r="31" spans="1:16" ht="12.75" customHeight="1" thickBot="1">
      <c r="A31" s="8" t="str">
        <f t="shared" si="0"/>
        <v>OEJV 0160 </v>
      </c>
      <c r="B31" s="3" t="str">
        <f t="shared" si="1"/>
        <v>II</v>
      </c>
      <c r="C31" s="8">
        <f t="shared" si="2"/>
        <v>56404.322749999999</v>
      </c>
      <c r="D31" s="10" t="str">
        <f t="shared" si="3"/>
        <v>vis</v>
      </c>
      <c r="E31" s="47">
        <f>VLOOKUP(C31,Active!C$21:E$973,3,FALSE)</f>
        <v>9923.3528124840941</v>
      </c>
      <c r="F31" s="3" t="s">
        <v>71</v>
      </c>
      <c r="G31" s="10" t="str">
        <f t="shared" si="4"/>
        <v>56404.32275</v>
      </c>
      <c r="H31" s="8">
        <f t="shared" si="5"/>
        <v>9923.5</v>
      </c>
      <c r="I31" s="48" t="s">
        <v>174</v>
      </c>
      <c r="J31" s="49" t="s">
        <v>175</v>
      </c>
      <c r="K31" s="48" t="s">
        <v>176</v>
      </c>
      <c r="L31" s="48" t="s">
        <v>177</v>
      </c>
      <c r="M31" s="49" t="s">
        <v>77</v>
      </c>
      <c r="N31" s="49" t="s">
        <v>127</v>
      </c>
      <c r="O31" s="50" t="s">
        <v>128</v>
      </c>
      <c r="P31" s="51" t="s">
        <v>129</v>
      </c>
    </row>
    <row r="32" spans="1:16" ht="12.75" customHeight="1" thickBot="1">
      <c r="A32" s="8" t="str">
        <f t="shared" si="0"/>
        <v>BAVM 225 </v>
      </c>
      <c r="B32" s="3" t="str">
        <f t="shared" si="1"/>
        <v>II</v>
      </c>
      <c r="C32" s="8">
        <f t="shared" si="2"/>
        <v>55673.3606</v>
      </c>
      <c r="D32" s="10" t="str">
        <f t="shared" si="3"/>
        <v>vis</v>
      </c>
      <c r="E32" s="47">
        <f>VLOOKUP(C32,Active!C$21:E$973,3,FALSE)</f>
        <v>8152.3923740578357</v>
      </c>
      <c r="F32" s="3" t="s">
        <v>71</v>
      </c>
      <c r="G32" s="10" t="str">
        <f t="shared" si="4"/>
        <v>55673.3606</v>
      </c>
      <c r="H32" s="8">
        <f t="shared" si="5"/>
        <v>8152.5</v>
      </c>
      <c r="I32" s="48" t="s">
        <v>144</v>
      </c>
      <c r="J32" s="49" t="s">
        <v>145</v>
      </c>
      <c r="K32" s="48" t="s">
        <v>146</v>
      </c>
      <c r="L32" s="48" t="s">
        <v>147</v>
      </c>
      <c r="M32" s="49" t="s">
        <v>77</v>
      </c>
      <c r="N32" s="49" t="s">
        <v>100</v>
      </c>
      <c r="O32" s="50" t="s">
        <v>148</v>
      </c>
      <c r="P32" s="51" t="s">
        <v>149</v>
      </c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</sheetData>
  <phoneticPr fontId="8" type="noConversion"/>
  <hyperlinks>
    <hyperlink ref="P12" r:id="rId1" display="http://www.konkoly.hu/cgi-bin/IBVS?5438"/>
    <hyperlink ref="P13" r:id="rId2" display="http://www.konkoly.hu/cgi-bin/IBVS?5543"/>
    <hyperlink ref="P14" r:id="rId3" display="http://www.konkoly.hu/cgi-bin/IBVS?5543"/>
    <hyperlink ref="P15" r:id="rId4" display="http://www.konkoly.hu/cgi-bin/IBVS?5653"/>
    <hyperlink ref="P16" r:id="rId5" display="http://www.konkoly.hu/cgi-bin/IBVS?5713"/>
    <hyperlink ref="P17" r:id="rId6" display="http://www.bav-astro.de/sfs/BAVM_link.php?BAVMnr=201"/>
    <hyperlink ref="P18" r:id="rId7" display="http://www.konkoly.hu/cgi-bin/IBVS?5781"/>
    <hyperlink ref="P19" r:id="rId8" display="http://www.bav-astro.de/sfs/BAVM_link.php?BAVMnr=209"/>
    <hyperlink ref="P20" r:id="rId9" display="http://www.bav-astro.de/sfs/BAVM_link.php?BAVMnr=209"/>
    <hyperlink ref="P21" r:id="rId10" display="http://www.konkoly.hu/cgi-bin/IBVS?5894"/>
    <hyperlink ref="P22" r:id="rId11" display="http://var.astro.cz/oejv/issues/oejv0160.pdf"/>
    <hyperlink ref="P23" r:id="rId12" display="http://var.astro.cz/oejv/issues/oejv0160.pdf"/>
    <hyperlink ref="P24" r:id="rId13" display="http://www.bav-astro.de/sfs/BAVM_link.php?BAVMnr=220"/>
    <hyperlink ref="P25" r:id="rId14" display="http://var.astro.cz/oejv/issues/oejv0160.pdf"/>
    <hyperlink ref="P32" r:id="rId15" display="http://www.bav-astro.de/sfs/BAVM_link.php?BAVMnr=225"/>
    <hyperlink ref="P26" r:id="rId16" display="http://www.bav-astro.de/sfs/BAVM_link.php?BAVMnr=234"/>
    <hyperlink ref="P27" r:id="rId17" display="http://var.astro.cz/oejv/issues/oejv0160.pdf"/>
    <hyperlink ref="P28" r:id="rId18" display="http://var.astro.cz/oejv/issues/oejv0160.pdf"/>
    <hyperlink ref="P29" r:id="rId19" display="http://www.bav-astro.de/sfs/BAVM_link.php?BAVMnr=228"/>
    <hyperlink ref="P30" r:id="rId20" display="http://www.bav-astro.de/sfs/BAVM_link.php?BAVMnr=228"/>
    <hyperlink ref="P31" r:id="rId21" display="http://var.astro.cz/oejv/issues/oejv0160.pdf"/>
    <hyperlink ref="P11" r:id="rId22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2024-01-30T02:30:45Z</dcterms:modified>
</cp:coreProperties>
</file>