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832E2B5-0DBE-4D08-B317-D72A263F8635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G27" i="1"/>
  <c r="I27" i="1"/>
  <c r="E28" i="1"/>
  <c r="F28" i="1"/>
  <c r="G28" i="1"/>
  <c r="I28" i="1"/>
  <c r="G11" i="1"/>
  <c r="F11" i="1"/>
  <c r="Q22" i="1"/>
  <c r="Q23" i="1"/>
  <c r="Q24" i="1"/>
  <c r="Q25" i="1"/>
  <c r="Q26" i="1"/>
  <c r="Q27" i="1"/>
  <c r="Q28" i="1"/>
  <c r="C21" i="1"/>
  <c r="G21" i="1"/>
  <c r="H21" i="1"/>
  <c r="E21" i="1"/>
  <c r="F21" i="1"/>
  <c r="A21" i="1"/>
  <c r="H20" i="1"/>
  <c r="E14" i="1"/>
  <c r="E15" i="1" s="1"/>
  <c r="C17" i="1"/>
  <c r="Q21" i="1"/>
  <c r="C11" i="1"/>
  <c r="C12" i="1"/>
  <c r="C16" i="1" l="1"/>
  <c r="D18" i="1" s="1"/>
  <c r="C15" i="1"/>
  <c r="O21" i="1"/>
  <c r="S21" i="1" s="1"/>
  <c r="O22" i="1"/>
  <c r="S22" i="1" s="1"/>
  <c r="O24" i="1"/>
  <c r="S24" i="1" s="1"/>
  <c r="O25" i="1"/>
  <c r="S25" i="1" s="1"/>
  <c r="O28" i="1"/>
  <c r="S28" i="1" s="1"/>
  <c r="O27" i="1"/>
  <c r="S27" i="1" s="1"/>
  <c r="O23" i="1"/>
  <c r="S23" i="1" s="1"/>
  <c r="O26" i="1"/>
  <c r="S26" i="1" s="1"/>
  <c r="S19" i="1" l="1"/>
  <c r="E16" i="1"/>
  <c r="E17" i="1" s="1"/>
  <c r="C18" i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<sst xmlns="http://schemas.openxmlformats.org/spreadsheetml/2006/main" count="67" uniqueCount="54">
  <si>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</si>
  <si>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</si>
  <si>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</si>
  <si>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</si>
  <si>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</si>
  <si>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</si>
  <si>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</si>
  <si>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</si>
  <si>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</si>
  <si>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</si>
  <si>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</si>
  <si>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</si>
  <si>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</si>
  <si>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</si>
  <si>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</si>
  <si>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</si>
  <si>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</si>
  <si>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</si>
  <si>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</si>
  <si>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</si>
  <si>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</si>
  <si>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</si>
  <si>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</si>
  <si>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</si>
  <si>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</si>
  <si>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</si>
  <si>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</si>
  <si>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</si>
  <si>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</si>
  <si>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</si>
  <si>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</si>
  <si>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</si>
  <si>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</si>
  <si>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</si>
  <si>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</si>
  <si>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</si>
  <si>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</si>
  <si>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</si>
  <si>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</si>
  <si>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</si>
  <si>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</si>
  <si>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</si>
  <si>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G1994-0465</t>
  </si>
  <si>
    <t>G1994-0465_CrB.xls</t>
  </si>
  <si>
    <t>ESD EC</t>
  </si>
  <si>
    <t>CrB</t>
  </si>
  <si>
    <t>VSX</t>
  </si>
  <si>
    <t>IBVS 5992</t>
  </si>
  <si>
    <t>II</t>
  </si>
  <si>
    <t>IBVS 6029</t>
  </si>
  <si>
    <t>IBVS 6063</t>
  </si>
  <si>
    <t>V0339 Com / GSC 1994-0465</t>
  </si>
  <si>
    <t>CCD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</si>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</sst>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>
      <alignment vertical="top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V0339 Com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C9-4CC6-8DC6-DC592EE623F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-6.8719999981112778E-3</c:v>
                </c:pt>
                <c:pt idx="2">
                  <c:v>-5.0579999951878563E-3</c:v>
                </c:pt>
                <c:pt idx="3">
                  <c:v>-4.8240000032819808E-3</c:v>
                </c:pt>
                <c:pt idx="4">
                  <c:v>-4.9100000032922253E-3</c:v>
                </c:pt>
                <c:pt idx="5">
                  <c:v>-1.0694999946281314E-3</c:v>
                </c:pt>
                <c:pt idx="6">
                  <c:v>-7.3949999932665378E-4</c:v>
                </c:pt>
                <c:pt idx="7">
                  <c:v>1.1050000466639176E-4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C9-4CC6-8DC6-DC592EE623F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C9-4CC6-8DC6-DC592EE623F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C9-4CC6-8DC6-DC592EE623F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C9-4CC6-8DC6-DC592EE623F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C9-4CC6-8DC6-DC592EE623F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5.0000000000000001E-4</c:v>
                  </c:pt>
                  <c:pt idx="5">
                    <c:v>1.6000000000000001E-4</c:v>
                  </c:pt>
                  <c:pt idx="6">
                    <c:v>1.3999999999999999E-4</c:v>
                  </c:pt>
                  <c:pt idx="7">
                    <c:v>1.3999999999999999E-4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C9-4CC6-8DC6-DC592EE623F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-3.0140488634914062E-2</c:v>
                </c:pt>
                <c:pt idx="1">
                  <c:v>-6.7992330868048047E-3</c:v>
                </c:pt>
                <c:pt idx="2">
                  <c:v>-6.3212758062706868E-3</c:v>
                </c:pt>
                <c:pt idx="3">
                  <c:v>-3.907289034965452E-3</c:v>
                </c:pt>
                <c:pt idx="4">
                  <c:v>-3.4293317544313341E-3</c:v>
                </c:pt>
                <c:pt idx="5">
                  <c:v>-9.6845676889648416E-4</c:v>
                </c:pt>
                <c:pt idx="6">
                  <c:v>-9.6845676889648416E-4</c:v>
                </c:pt>
                <c:pt idx="7">
                  <c:v>-9.6845676889648416E-4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C9-4CC6-8DC6-DC592EE623F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7716</c:v>
                </c:pt>
                <c:pt idx="2">
                  <c:v>7874</c:v>
                </c:pt>
                <c:pt idx="3">
                  <c:v>8672</c:v>
                </c:pt>
                <c:pt idx="4">
                  <c:v>8830</c:v>
                </c:pt>
                <c:pt idx="5">
                  <c:v>9643.5</c:v>
                </c:pt>
                <c:pt idx="6">
                  <c:v>9643.5</c:v>
                </c:pt>
                <c:pt idx="7">
                  <c:v>9643.5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C9-4CC6-8DC6-DC592EE62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0046232"/>
        <c:axId val="1"/>
      </c:scatterChart>
      <c:valAx>
        <c:axId val="6000462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000462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0</xdr:row>
      <xdr:rowOff>1</xdr:rowOff>
    </xdr:from>
    <xdr:to>
      <xdr:col>17</xdr:col>
      <xdr:colOff>676275</xdr:colOff>
      <xdr:row>18</xdr:row>
      <xdr:rowOff>9526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5ACBA6-6CBA-B46C-D2D1-5C8E347A5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8" t="s">
        <v>51</v>
      </c>
      <c r="E1" t="s">
        <v>43</v>
      </c>
    </row>
    <row r="2" spans="1:7" x14ac:dyDescent="0.2">
      <c r="A2" t="s">
        <v>23</v>
      </c>
      <c r="B2" t="s">
        <v>44</v>
      </c>
      <c r="C2" s="30" t="s">
        <v>41</v>
      </c>
      <c r="D2" s="2" t="s">
        <v>45</v>
      </c>
      <c r="E2" s="31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4" t="s">
        <v>0</v>
      </c>
      <c r="C4" s="27" t="s">
        <v>40</v>
      </c>
      <c r="D4" s="28" t="s">
        <v>40</v>
      </c>
    </row>
    <row r="6" spans="1:7" x14ac:dyDescent="0.2">
      <c r="A6" s="4" t="s">
        <v>1</v>
      </c>
    </row>
    <row r="7" spans="1:7" x14ac:dyDescent="0.2">
      <c r="A7" t="s">
        <v>2</v>
      </c>
      <c r="C7" s="39">
        <v>52653.919999999998</v>
      </c>
      <c r="D7" s="29" t="s">
        <v>46</v>
      </c>
    </row>
    <row r="8" spans="1:7" x14ac:dyDescent="0.2">
      <c r="A8" t="s">
        <v>3</v>
      </c>
      <c r="C8" s="39">
        <v>0.38491700000000001</v>
      </c>
      <c r="D8" s="29" t="s">
        <v>46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21">
        <f ca="1">INTERCEPT(INDIRECT($G$11):G992,INDIRECT($F$11):F992)</f>
        <v>-3.0140488634914062E-2</v>
      </c>
      <c r="D11" s="2"/>
      <c r="E11" s="9"/>
      <c r="F11" s="22" t="str">
        <f>"F"&amp;E19</f>
        <v>F22</v>
      </c>
      <c r="G11" s="23" t="str">
        <f>"G"&amp;E19</f>
        <v>G22</v>
      </c>
    </row>
    <row r="12" spans="1:7" x14ac:dyDescent="0.2">
      <c r="A12" s="9" t="s">
        <v>16</v>
      </c>
      <c r="B12" s="9"/>
      <c r="C12" s="21">
        <f ca="1">SLOPE(INDIRECT($G$11):G992,INDIRECT($F$11):F992)</f>
        <v>3.0250460793298675E-6</v>
      </c>
      <c r="D12" s="2"/>
      <c r="E12" s="9"/>
    </row>
    <row r="13" spans="1:7" x14ac:dyDescent="0.2">
      <c r="A13" s="9" t="s">
        <v>18</v>
      </c>
      <c r="B13" s="9"/>
      <c r="C13" s="2" t="s">
        <v>13</v>
      </c>
      <c r="D13" s="13" t="s">
        <v>37</v>
      </c>
      <c r="E13" s="10">
        <v>1</v>
      </c>
    </row>
    <row r="14" spans="1:7" x14ac:dyDescent="0.2">
      <c r="A14" s="9"/>
      <c r="B14" s="9"/>
      <c r="C14" s="9"/>
      <c r="D14" s="13" t="s">
        <v>32</v>
      </c>
      <c r="E14" s="14">
        <f ca="1">NOW()+15018.5+$C$9/24</f>
        <v>60339.656939699074</v>
      </c>
    </row>
    <row r="15" spans="1:7" x14ac:dyDescent="0.2">
      <c r="A15" s="11" t="s">
        <v>17</v>
      </c>
      <c r="B15" s="9"/>
      <c r="C15" s="12">
        <f ca="1">(C7+C11)+(C8+C12)*INT(MAX(F21:F3533))</f>
        <v>56365.673661030705</v>
      </c>
      <c r="D15" s="13" t="s">
        <v>38</v>
      </c>
      <c r="E15" s="14">
        <f ca="1">ROUND(2*(E14-$C$7)/$C$8,0)/2+E13</f>
        <v>19968.5</v>
      </c>
    </row>
    <row r="16" spans="1:7" x14ac:dyDescent="0.2">
      <c r="A16" s="15" t="s">
        <v>4</v>
      </c>
      <c r="B16" s="9"/>
      <c r="C16" s="16">
        <f ca="1">+C8+C12</f>
        <v>0.38492002504607936</v>
      </c>
      <c r="D16" s="13" t="s">
        <v>39</v>
      </c>
      <c r="E16" s="23">
        <f ca="1">ROUND(2*(E14-$C$15)/$C$16,0)/2+E13</f>
        <v>10325</v>
      </c>
    </row>
    <row r="17" spans="1:19" ht="13.5" thickBot="1" x14ac:dyDescent="0.25">
      <c r="A17" s="13" t="s">
        <v>29</v>
      </c>
      <c r="B17" s="9"/>
      <c r="C17" s="9">
        <f>COUNT(C21:C2191)</f>
        <v>8</v>
      </c>
      <c r="D17" s="13" t="s">
        <v>33</v>
      </c>
      <c r="E17" s="17">
        <f ca="1">+$C$15+$C$16*E16-15018.5-$C$9/24</f>
        <v>45321.868752964809</v>
      </c>
    </row>
    <row r="18" spans="1:19" ht="14.25" thickTop="1" thickBot="1" x14ac:dyDescent="0.25">
      <c r="A18" s="15" t="s">
        <v>5</v>
      </c>
      <c r="B18" s="9"/>
      <c r="C18" s="18">
        <f ca="1">+C15</f>
        <v>56365.673661030705</v>
      </c>
      <c r="D18" s="19">
        <f ca="1">+C16</f>
        <v>0.38492002504607936</v>
      </c>
      <c r="E18" s="20" t="s">
        <v>34</v>
      </c>
    </row>
    <row r="19" spans="1:19" ht="13.5" thickTop="1" x14ac:dyDescent="0.2">
      <c r="A19" s="24" t="s">
        <v>35</v>
      </c>
      <c r="E19" s="25">
        <v>22</v>
      </c>
      <c r="S19">
        <f ca="1">SQRT(SUM(S21:S50)/(COUNT(S21:S50)-1))</f>
        <v>1.1428721538720292E-2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52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6" t="s">
        <v>36</v>
      </c>
    </row>
    <row r="21" spans="1:19" x14ac:dyDescent="0.2">
      <c r="A21" t="str">
        <f>D7</f>
        <v>VSX</v>
      </c>
      <c r="C21" s="7">
        <f>C$7</f>
        <v>52653.919999999998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-3.0140488634914062E-2</v>
      </c>
      <c r="Q21" s="1">
        <f>+C21-15018.5</f>
        <v>37635.42</v>
      </c>
      <c r="S21">
        <f ca="1">+(O21-G21)^2</f>
        <v>9.0844905515138376E-4</v>
      </c>
    </row>
    <row r="22" spans="1:19" x14ac:dyDescent="0.2">
      <c r="A22" s="32" t="s">
        <v>47</v>
      </c>
      <c r="B22" s="33" t="s">
        <v>48</v>
      </c>
      <c r="C22" s="32">
        <v>55623.932699999998</v>
      </c>
      <c r="D22" s="32">
        <v>2.9999999999999997E-4</v>
      </c>
      <c r="E22">
        <f t="shared" ref="E22:E28" si="0">+(C22-C$7)/C$8</f>
        <v>7715.9821468004775</v>
      </c>
      <c r="F22">
        <f t="shared" ref="F22:F28" si="1">ROUND(2*E22,0)/2</f>
        <v>7716</v>
      </c>
      <c r="G22">
        <f t="shared" ref="G22:G28" si="2">+C22-(C$7+F22*C$8)</f>
        <v>-6.8719999981112778E-3</v>
      </c>
      <c r="I22">
        <f t="shared" ref="I22:I28" si="3">+G22</f>
        <v>-6.8719999981112778E-3</v>
      </c>
      <c r="O22">
        <f t="shared" ref="O22:O28" ca="1" si="4">+C$11+C$12*$F22</f>
        <v>-6.7992330868048047E-3</v>
      </c>
      <c r="Q22" s="1">
        <f t="shared" ref="Q22:Q28" si="5">+C22-15018.5</f>
        <v>40605.432699999998</v>
      </c>
      <c r="S22">
        <f t="shared" ref="S22:S28" ca="1" si="6">+(O22-G22)^2</f>
        <v>5.2950233810841285E-9</v>
      </c>
    </row>
    <row r="23" spans="1:19" x14ac:dyDescent="0.2">
      <c r="A23" s="32" t="s">
        <v>47</v>
      </c>
      <c r="B23" s="33" t="s">
        <v>48</v>
      </c>
      <c r="C23" s="32">
        <v>55684.751400000001</v>
      </c>
      <c r="D23" s="32">
        <v>2.9999999999999997E-4</v>
      </c>
      <c r="E23">
        <f t="shared" si="0"/>
        <v>7873.9868595047838</v>
      </c>
      <c r="F23">
        <f t="shared" si="1"/>
        <v>7874</v>
      </c>
      <c r="G23">
        <f t="shared" si="2"/>
        <v>-5.0579999951878563E-3</v>
      </c>
      <c r="I23">
        <f t="shared" si="3"/>
        <v>-5.0579999951878563E-3</v>
      </c>
      <c r="O23">
        <f t="shared" ca="1" si="4"/>
        <v>-6.3212758062706868E-3</v>
      </c>
      <c r="Q23" s="1">
        <f t="shared" si="5"/>
        <v>40666.251400000001</v>
      </c>
      <c r="S23">
        <f t="shared" ca="1" si="6"/>
        <v>1.5958657748669835E-6</v>
      </c>
    </row>
    <row r="24" spans="1:19" x14ac:dyDescent="0.2">
      <c r="A24" s="34" t="s">
        <v>49</v>
      </c>
      <c r="B24" s="35" t="s">
        <v>48</v>
      </c>
      <c r="C24" s="34">
        <v>55991.915399999998</v>
      </c>
      <c r="D24" s="34">
        <v>2.9999999999999997E-4</v>
      </c>
      <c r="E24">
        <f t="shared" si="0"/>
        <v>8671.9874674280418</v>
      </c>
      <c r="F24">
        <f t="shared" si="1"/>
        <v>8672</v>
      </c>
      <c r="G24">
        <f t="shared" si="2"/>
        <v>-4.8240000032819808E-3</v>
      </c>
      <c r="I24">
        <f t="shared" si="3"/>
        <v>-4.8240000032819808E-3</v>
      </c>
      <c r="O24">
        <f t="shared" ca="1" si="4"/>
        <v>-3.907289034965452E-3</v>
      </c>
      <c r="Q24" s="1">
        <f t="shared" si="5"/>
        <v>40973.415399999998</v>
      </c>
      <c r="S24">
        <f t="shared" ca="1" si="6"/>
        <v>8.4035899943182784E-7</v>
      </c>
    </row>
    <row r="25" spans="1:19" x14ac:dyDescent="0.2">
      <c r="A25" s="34" t="s">
        <v>49</v>
      </c>
      <c r="B25" s="35" t="s">
        <v>48</v>
      </c>
      <c r="C25" s="34">
        <v>56052.732199999999</v>
      </c>
      <c r="D25" s="34">
        <v>5.0000000000000001E-4</v>
      </c>
      <c r="E25">
        <f t="shared" si="0"/>
        <v>8829.9872440032541</v>
      </c>
      <c r="F25">
        <f t="shared" si="1"/>
        <v>8830</v>
      </c>
      <c r="G25">
        <f t="shared" si="2"/>
        <v>-4.9100000032922253E-3</v>
      </c>
      <c r="I25">
        <f t="shared" si="3"/>
        <v>-4.9100000032922253E-3</v>
      </c>
      <c r="O25">
        <f t="shared" ca="1" si="4"/>
        <v>-3.4293317544313341E-3</v>
      </c>
      <c r="Q25" s="1">
        <f t="shared" si="5"/>
        <v>41034.232199999999</v>
      </c>
      <c r="S25">
        <f t="shared" ca="1" si="6"/>
        <v>2.192378463184778E-6</v>
      </c>
    </row>
    <row r="26" spans="1:19" x14ac:dyDescent="0.2">
      <c r="A26" s="36" t="s">
        <v>50</v>
      </c>
      <c r="B26" s="35" t="s">
        <v>53</v>
      </c>
      <c r="C26" s="37">
        <v>56365.866020000001</v>
      </c>
      <c r="D26" s="37">
        <v>1.6000000000000001E-4</v>
      </c>
      <c r="E26">
        <f t="shared" si="0"/>
        <v>9643.4972214789232</v>
      </c>
      <c r="F26">
        <f t="shared" si="1"/>
        <v>9643.5</v>
      </c>
      <c r="G26">
        <f t="shared" si="2"/>
        <v>-1.0694999946281314E-3</v>
      </c>
      <c r="I26">
        <f t="shared" si="3"/>
        <v>-1.0694999946281314E-3</v>
      </c>
      <c r="O26">
        <f t="shared" ca="1" si="4"/>
        <v>-9.6845676889648416E-4</v>
      </c>
      <c r="Q26" s="1">
        <f t="shared" si="5"/>
        <v>41347.366020000001</v>
      </c>
      <c r="S26">
        <f t="shared" ca="1" si="6"/>
        <v>1.0209733466256617E-8</v>
      </c>
    </row>
    <row r="27" spans="1:19" x14ac:dyDescent="0.2">
      <c r="A27" s="36" t="s">
        <v>50</v>
      </c>
      <c r="B27" s="35" t="s">
        <v>53</v>
      </c>
      <c r="C27" s="37">
        <v>56365.866349999997</v>
      </c>
      <c r="D27" s="37">
        <v>1.3999999999999999E-4</v>
      </c>
      <c r="E27">
        <f t="shared" si="0"/>
        <v>9643.498078806595</v>
      </c>
      <c r="F27">
        <f t="shared" si="1"/>
        <v>9643.5</v>
      </c>
      <c r="G27">
        <f t="shared" si="2"/>
        <v>-7.3949999932665378E-4</v>
      </c>
      <c r="I27">
        <f t="shared" si="3"/>
        <v>-7.3949999932665378E-4</v>
      </c>
      <c r="O27">
        <f t="shared" ca="1" si="4"/>
        <v>-9.6845676889648416E-4</v>
      </c>
      <c r="Q27" s="1">
        <f t="shared" si="5"/>
        <v>41347.366349999997</v>
      </c>
      <c r="S27">
        <f t="shared" ca="1" si="6"/>
        <v>5.2421202331852409E-8</v>
      </c>
    </row>
    <row r="28" spans="1:19" x14ac:dyDescent="0.2">
      <c r="A28" s="36" t="s">
        <v>50</v>
      </c>
      <c r="B28" s="35" t="s">
        <v>53</v>
      </c>
      <c r="C28" s="37">
        <v>56365.867200000001</v>
      </c>
      <c r="D28" s="37">
        <v>1.3999999999999999E-4</v>
      </c>
      <c r="E28">
        <f t="shared" si="0"/>
        <v>9643.5002870748813</v>
      </c>
      <c r="F28">
        <f t="shared" si="1"/>
        <v>9643.5</v>
      </c>
      <c r="G28">
        <f t="shared" si="2"/>
        <v>1.1050000466639176E-4</v>
      </c>
      <c r="I28">
        <f t="shared" si="3"/>
        <v>1.1050000466639176E-4</v>
      </c>
      <c r="O28">
        <f t="shared" ca="1" si="4"/>
        <v>-9.6845676889648416E-4</v>
      </c>
      <c r="Q28" s="1">
        <f t="shared" si="5"/>
        <v>41347.367200000001</v>
      </c>
      <c r="S28">
        <f t="shared" ca="1" si="6"/>
        <v>1.164147719217211E-6</v>
      </c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2024-01-30T02:45:59Z</dcterms:modified>
</cp:coreProperties>
</file>