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F29317-896E-4823-A6B5-4E144E7AAB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D9" i="1"/>
  <c r="C9" i="1"/>
  <c r="Q22" i="1"/>
  <c r="G13" i="2"/>
  <c r="C13" i="2"/>
  <c r="G12" i="2"/>
  <c r="C12" i="2"/>
  <c r="G11" i="2"/>
  <c r="C11" i="2"/>
  <c r="H13" i="2"/>
  <c r="D13" i="2"/>
  <c r="B13" i="2"/>
  <c r="A13" i="2"/>
  <c r="H12" i="2"/>
  <c r="B12" i="2"/>
  <c r="D12" i="2"/>
  <c r="A12" i="2"/>
  <c r="H11" i="2"/>
  <c r="D11" i="2"/>
  <c r="B11" i="2"/>
  <c r="A11" i="2"/>
  <c r="Q24" i="1"/>
  <c r="Q23" i="1"/>
  <c r="C7" i="1"/>
  <c r="E25" i="1"/>
  <c r="F25" i="1"/>
  <c r="C8" i="1"/>
  <c r="Q21" i="1"/>
  <c r="F17" i="1"/>
  <c r="C17" i="1"/>
  <c r="E13" i="2"/>
  <c r="E23" i="1"/>
  <c r="F23" i="1"/>
  <c r="G21" i="1"/>
  <c r="E21" i="1"/>
  <c r="F21" i="1"/>
  <c r="G24" i="1"/>
  <c r="J24" i="1"/>
  <c r="E22" i="1"/>
  <c r="F22" i="1"/>
  <c r="G22" i="1"/>
  <c r="K22" i="1"/>
  <c r="E24" i="1"/>
  <c r="F24" i="1"/>
  <c r="G25" i="1"/>
  <c r="K25" i="1"/>
  <c r="G23" i="1"/>
  <c r="K23" i="1"/>
  <c r="E11" i="2"/>
  <c r="E12" i="2"/>
  <c r="I21" i="1"/>
  <c r="C12" i="1"/>
  <c r="C11" i="1"/>
  <c r="C15" i="1" l="1"/>
  <c r="F18" i="1" s="1"/>
  <c r="O25" i="1"/>
  <c r="O22" i="1"/>
  <c r="O24" i="1"/>
  <c r="O23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<sst xmlns="http://schemas.openxmlformats.org/spreadsheetml/2006/main" count="87" uniqueCount="70">
  <si>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</si>
  <si>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</si>
  <si>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</si>
  <si>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</si>
  <si>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</si>
  <si>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</si>
  <si>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</si>
  <si>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</si>
  <si>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</si>
  <si>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</si>
  <si>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</si>
  <si>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</si>
  <si>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</si>
  <si>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</si>
  <si>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</si>
  <si>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</si>
  <si>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</si>
  <si>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</si>
  <si>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</si>
  <si>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</si>
  <si>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</si>
  <si>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</si>
  <si>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</si>
  <si>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</si>
  <si>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</si>
  <si>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</si>
  <si>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</si>
  <si>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</si>
  <si>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</si>
  <si>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</si>
  <si>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</si>
  <si>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</si>
  <si>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</si>
  <si>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</si>
  <si>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</si>
  <si>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</si>
  <si>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</si>
  <si>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VY Com / GSC 1441-2096               </t>
  </si>
  <si>
    <t xml:space="preserve">EB/KE     </t>
  </si>
  <si>
    <t>IBVS 5781</t>
  </si>
  <si>
    <t>IBVS 5874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</si>
  <si>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</si>
  <si>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</si>
  <si>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</si>
  <si>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</si>
  <si>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</si>
  <si>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</si>
  <si>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</si>
  <si>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</si>
  <si>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</si>
  <si>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</si>
  <si>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</si>
  <si>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2451660.429 </t>
  </si>
  <si>
    <t> 25.04.2000 22:17 </t>
  </si>
  <si>
    <t> 0.018 </t>
  </si>
  <si>
    <t>E </t>
  </si>
  <si>
    <t>?</t>
  </si>
  <si>
    <t> R.Diethelm </t>
  </si>
  <si>
    <t> BBS 122 </t>
  </si>
  <si>
    <t>2454200.4174 </t>
  </si>
  <si>
    <t> 09.04.2007 22:01 </t>
  </si>
  <si>
    <t> 0.0490 </t>
  </si>
  <si>
    <t>C </t>
  </si>
  <si>
    <t> R. Diethelm </t>
  </si>
  <si>
    <t> BBS 133 (=IBVS 5781) </t>
  </si>
  <si>
    <t>2454555.4716 </t>
  </si>
  <si>
    <t> 29.03.2008 23:19 </t>
  </si>
  <si>
    <t> 0.0338 </t>
  </si>
  <si>
    <t> P.Frank </t>
  </si>
  <si>
    <t>BAVM 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</si>
</sst>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Com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3-47F7-BDC1-05080AA935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3-47F7-BDC1-05080AA935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1.8959999993967358E-2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E3-47F7-BDC1-05080AA935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2.759999995760154E-3</c:v>
                </c:pt>
                <c:pt idx="2">
                  <c:v>3.4199999994598329E-2</c:v>
                </c:pt>
                <c:pt idx="4">
                  <c:v>6.9000000003143214E-3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E3-47F7-BDC1-05080AA935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E3-47F7-BDC1-05080AA935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E3-47F7-BDC1-05080AA935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8.7200000000000003E-3</c:v>
                  </c:pt>
                  <c:pt idx="1">
                    <c:v>0</c:v>
                  </c:pt>
                  <c:pt idx="2">
                    <c:v>1.8E-3</c:v>
                  </c:pt>
                  <c:pt idx="3">
                    <c:v>3.5999999999999999E-3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E3-47F7-BDC1-05080AA935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-833</c:v>
                </c:pt>
                <c:pt idx="2">
                  <c:v>1685</c:v>
                </c:pt>
                <c:pt idx="3">
                  <c:v>2037</c:v>
                </c:pt>
                <c:pt idx="4">
                  <c:v>5265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1.0510772517636642E-2</c:v>
                </c:pt>
                <c:pt idx="1">
                  <c:v>9.4619998353643042E-3</c:v>
                </c:pt>
                <c:pt idx="2">
                  <c:v>1.2632239467971443E-2</c:v>
                </c:pt>
                <c:pt idx="3">
                  <c:v>1.3075418320504292E-2</c:v>
                </c:pt>
                <c:pt idx="4">
                  <c:v>1.7139569843163484E-2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E3-47F7-BDC1-05080AA9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107336"/>
        <c:axId val="1"/>
      </c:scatterChart>
      <c:valAx>
        <c:axId val="70710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10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814DDD-123B-7F5E-2DA8-F0B20A5DD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36</v>
      </c>
      <c r="C4" s="8">
        <v>52500.69</v>
      </c>
      <c r="D4" s="9">
        <v>1.0087200000000001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f>C4</f>
        <v>52500.69</v>
      </c>
    </row>
    <row r="8" spans="1:6" x14ac:dyDescent="0.2">
      <c r="A8" t="s">
        <v>3</v>
      </c>
      <c r="C8">
        <f>D4</f>
        <v>1.0087200000000001</v>
      </c>
      <c r="D8" s="28"/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INTERCEPT(INDIRECT($D$9):G975,INDIRECT($C$9):F975)</f>
        <v>1.0510772517636642E-2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SLOPE(INDIRECT($D$9):G975,INDIRECT($C$9):F975)</f>
        <v>1.2590308310592293E-6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(C7+C11)+(C8+C12)*INT(MAX(F21:F3516))</f>
        <v>57811.617939569849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1.0087212590308312</v>
      </c>
      <c r="E16" s="12"/>
      <c r="F16" s="12"/>
    </row>
    <row r="17" spans="1:17" ht="13.5" thickBot="1" x14ac:dyDescent="0.25">
      <c r="A17" s="16" t="s">
        <v>27</v>
      </c>
      <c r="B17" s="12"/>
      <c r="C17" s="12">
        <f>COUNT(C21:C2174)</f>
        <v>5</v>
      </c>
      <c r="E17" s="16" t="s">
        <v>30</v>
      </c>
      <c r="F17" s="17">
        <f ca="1">TODAY()+15018.5-B5/24</f>
        <v>60339.5</v>
      </c>
    </row>
    <row r="18" spans="1:17" ht="14.25" thickTop="1" thickBot="1" x14ac:dyDescent="0.25">
      <c r="A18" s="18" t="s">
        <v>5</v>
      </c>
      <c r="B18" s="12"/>
      <c r="C18" s="21">
        <f ca="1">+C15</f>
        <v>57811.617939569849</v>
      </c>
      <c r="D18" s="22">
        <f ca="1">+C16</f>
        <v>1.0087212590308312</v>
      </c>
      <c r="E18" s="16" t="s">
        <v>31</v>
      </c>
      <c r="F18" s="17">
        <f ca="1">ROUND(2*(F17-C15)/C16,0)/2+1</f>
        <v>2507</v>
      </c>
    </row>
    <row r="19" spans="1:17" ht="13.5" thickTop="1" x14ac:dyDescent="0.2">
      <c r="E19" s="16" t="s">
        <v>32</v>
      </c>
      <c r="F19" s="20">
        <f ca="1">+C15+C16*F18-15018.5-C5/24</f>
        <v>45322.377969293477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30" t="s">
        <v>35</v>
      </c>
      <c r="B21" s="29" t="s">
        <v>34</v>
      </c>
      <c r="C21" s="30">
        <v>52500.69</v>
      </c>
      <c r="D21" s="30">
        <v>8.7200000000000003E-3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1.0510772517636642E-2</v>
      </c>
      <c r="Q21" s="2">
        <f>+C21-15018.5</f>
        <v>37482.19</v>
      </c>
    </row>
    <row r="22" spans="1:17" x14ac:dyDescent="0.2">
      <c r="A22" s="45" t="s">
        <v>58</v>
      </c>
      <c r="B22" s="47" t="s">
        <v>34</v>
      </c>
      <c r="C22" s="46">
        <v>51660.428999999996</v>
      </c>
      <c r="D22" s="46" t="s">
        <v>51</v>
      </c>
      <c r="E22">
        <f>+(C22-C$7)/C$8</f>
        <v>-832.99726385915403</v>
      </c>
      <c r="F22">
        <f>ROUND(2*E22,0)/2</f>
        <v>-833</v>
      </c>
      <c r="G22">
        <f>+C22-(C$7+F22*C$8)</f>
        <v>2.759999995760154E-3</v>
      </c>
      <c r="K22">
        <f>+G22</f>
        <v>2.759999995760154E-3</v>
      </c>
      <c r="O22">
        <f ca="1">+C$11+C$12*$F22</f>
        <v>9.4619998353643042E-3</v>
      </c>
      <c r="Q22" s="2">
        <f>+C22-15018.5</f>
        <v>36641.928999999996</v>
      </c>
    </row>
    <row r="23" spans="1:17" x14ac:dyDescent="0.2">
      <c r="A23" s="31" t="s">
        <v>39</v>
      </c>
      <c r="B23" s="29" t="s">
        <v>34</v>
      </c>
      <c r="C23" s="30">
        <v>54200.417399999998</v>
      </c>
      <c r="D23" s="30">
        <v>1.8E-3</v>
      </c>
      <c r="E23">
        <f>+(C23-C$7)/C$8</f>
        <v>1685.0339043540289</v>
      </c>
      <c r="F23">
        <f>ROUND(2*E23,0)/2</f>
        <v>1685</v>
      </c>
      <c r="G23">
        <f>+C23-(C$7+F23*C$8)</f>
        <v>3.4199999994598329E-2</v>
      </c>
      <c r="K23">
        <f>+G23</f>
        <v>3.4199999994598329E-2</v>
      </c>
      <c r="O23">
        <f ca="1">+C$11+C$12*$F23</f>
        <v>1.2632239467971443E-2</v>
      </c>
      <c r="Q23" s="2">
        <f>+C23-15018.5</f>
        <v>39181.917399999998</v>
      </c>
    </row>
    <row r="24" spans="1:17" x14ac:dyDescent="0.2">
      <c r="A24" s="30" t="s">
        <v>40</v>
      </c>
      <c r="B24" s="29" t="s">
        <v>34</v>
      </c>
      <c r="C24" s="30">
        <v>54555.471599999997</v>
      </c>
      <c r="D24" s="30">
        <v>3.5999999999999999E-3</v>
      </c>
      <c r="E24">
        <f>+(C24-C$7)/C$8</f>
        <v>2037.0187960980199</v>
      </c>
      <c r="F24">
        <f>ROUND(2*E24,0)/2</f>
        <v>2037</v>
      </c>
      <c r="G24">
        <f>+C24-(C$7+F24*C$8)</f>
        <v>1.8959999993967358E-2</v>
      </c>
      <c r="J24">
        <f>+G24</f>
        <v>1.8959999993967358E-2</v>
      </c>
      <c r="O24">
        <f ca="1">+C$11+C$12*$F24</f>
        <v>1.3075418320504292E-2</v>
      </c>
      <c r="Q24" s="2">
        <f>+C24-15018.5</f>
        <v>39536.971599999997</v>
      </c>
    </row>
    <row r="25" spans="1:17" x14ac:dyDescent="0.2">
      <c r="A25" s="48" t="s">
        <v>0</v>
      </c>
      <c r="B25" s="49" t="s">
        <v>34</v>
      </c>
      <c r="C25" s="49">
        <v>57811.6077</v>
      </c>
      <c r="D25" s="49">
        <v>2.8999999999999998E-3</v>
      </c>
      <c r="E25">
        <f>+(C25-C$7)/C$8</f>
        <v>5265.0068403521273</v>
      </c>
      <c r="F25">
        <f>ROUND(2*E25,0)/2</f>
        <v>5265</v>
      </c>
      <c r="G25">
        <f>+C25-(C$7+F25*C$8)</f>
        <v>6.9000000003143214E-3</v>
      </c>
      <c r="K25">
        <f>+G25</f>
        <v>6.9000000003143214E-3</v>
      </c>
      <c r="O25">
        <f ca="1">+C$11+C$12*$F25</f>
        <v>1.7139569843163484E-2</v>
      </c>
      <c r="Q25" s="2">
        <f>+C25-15018.5</f>
        <v>42793.1077</v>
      </c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hyperlinks>
    <hyperlink ref="H64800" r:id="rId1" display="http://vsolj.cetus-net.org/bulletin.html"/>
    <hyperlink ref="H64793" r:id="rId2" display="https://www.aavso.org/ejaavso"/>
    <hyperlink ref="AP944" r:id="rId3" display="http://cdsbib.u-strasbg.fr/cgi-bin/cdsbib?1990RMxAA..21..381G"/>
    <hyperlink ref="AP948" r:id="rId4" display="http://cdsbib.u-strasbg.fr/cgi-bin/cdsbib?1990RMxAA..21..381G"/>
    <hyperlink ref="AP947" r:id="rId5" display="http://cdsbib.u-strasbg.fr/cgi-bin/cdsbib?1990RMxAA..21..381G"/>
    <hyperlink ref="AP928" r:id="rId6" display="http://cdsbib.u-strasbg.fr/cgi-bin/cdsbib?1990RMxAA..21..381G"/>
    <hyperlink ref="I64800" r:id="rId7" display="http://vsolj.cetus-net.org/bulletin.html"/>
    <hyperlink ref="AQ1084" r:id="rId8" display="http://cdsbib.u-strasbg.fr/cgi-bin/cdsbib?1990RMxAA..21..381G"/>
    <hyperlink ref="AQ55850" r:id="rId9" display="http://cdsbib.u-strasbg.fr/cgi-bin/cdsbib?1990RMxAA..21..381G"/>
    <hyperlink ref="AQ1085" r:id="rId10" display="http://cdsbib.u-strasbg.fr/cgi-bin/cdsbib?1990RMxAA..21..381G"/>
    <hyperlink ref="H64797" r:id="rId11" display="https://www.aavso.org/ejaavso"/>
    <hyperlink ref="H1970" r:id="rId12" display="http://vsolj.cetus-net.org/bulletin.html"/>
    <hyperlink ref="AP3214" r:id="rId13" display="http://cdsbib.u-strasbg.fr/cgi-bin/cdsbib?1990RMxAA..21..381G"/>
    <hyperlink ref="AP3217" r:id="rId14" display="http://cdsbib.u-strasbg.fr/cgi-bin/cdsbib?1990RMxAA..21..381G"/>
    <hyperlink ref="AP3215" r:id="rId15" display="http://cdsbib.u-strasbg.fr/cgi-bin/cdsbib?1990RMxAA..21..381G"/>
    <hyperlink ref="AP3199" r:id="rId16" display="http://cdsbib.u-strasbg.fr/cgi-bin/cdsbib?1990RMxAA..21..381G"/>
    <hyperlink ref="I1970" r:id="rId17" display="http://vsolj.cetus-net.org/bulletin.html"/>
    <hyperlink ref="AQ3428" r:id="rId18" display="http://cdsbib.u-strasbg.fr/cgi-bin/cdsbib?1990RMxAA..21..381G"/>
    <hyperlink ref="AQ129" r:id="rId19" display="http://cdsbib.u-strasbg.fr/cgi-bin/cdsbib?1990RMxAA..21..381G"/>
    <hyperlink ref="AQ343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41</v>
      </c>
      <c r="I1" s="33" t="s">
        <v>42</v>
      </c>
      <c r="J1" s="34" t="s">
        <v>43</v>
      </c>
    </row>
    <row r="2" spans="1:16" x14ac:dyDescent="0.2">
      <c r="I2" s="35" t="s">
        <v>44</v>
      </c>
      <c r="J2" s="36" t="s">
        <v>45</v>
      </c>
    </row>
    <row r="3" spans="1:16" x14ac:dyDescent="0.2">
      <c r="A3" s="37" t="s">
        <v>46</v>
      </c>
      <c r="I3" s="35" t="s">
        <v>47</v>
      </c>
      <c r="J3" s="36" t="s">
        <v>48</v>
      </c>
    </row>
    <row r="4" spans="1:16" x14ac:dyDescent="0.2">
      <c r="I4" s="35" t="s">
        <v>49</v>
      </c>
      <c r="J4" s="36" t="s">
        <v>48</v>
      </c>
    </row>
    <row r="5" spans="1:16" ht="13.5" thickBot="1" x14ac:dyDescent="0.25">
      <c r="I5" s="38" t="s">
        <v>50</v>
      </c>
      <c r="J5" s="39" t="s">
        <v>51</v>
      </c>
    </row>
    <row r="10" spans="1:16" ht="13.5" thickBot="1" x14ac:dyDescent="0.25"/>
    <row r="11" spans="1:16" ht="12.75" customHeight="1" thickBot="1" x14ac:dyDescent="0.25">
      <c r="A11" s="10" t="str">
        <f>P11</f>
        <v> BBS 122 </v>
      </c>
      <c r="B11" s="3" t="str">
        <f>IF(H11=INT(H11),"I","II")</f>
        <v>I</v>
      </c>
      <c r="C11" s="10">
        <f>1*G11</f>
        <v>51660.428999999996</v>
      </c>
      <c r="D11" s="12" t="str">
        <f>VLOOKUP(F11,I$1:J$5,2,FALSE)</f>
        <v>vis</v>
      </c>
      <c r="E11" s="40">
        <f>VLOOKUP(C11,Active!C$21:E$973,3,FALSE)</f>
        <v>-832.99726385915403</v>
      </c>
      <c r="F11" s="3" t="s">
        <v>50</v>
      </c>
      <c r="G11" s="12" t="str">
        <f>MID(I11,3,LEN(I11)-3)</f>
        <v>51660.429</v>
      </c>
      <c r="H11" s="10">
        <f>1*K11</f>
        <v>13870</v>
      </c>
      <c r="I11" s="41" t="s">
        <v>52</v>
      </c>
      <c r="J11" s="42" t="s">
        <v>53</v>
      </c>
      <c r="K11" s="41">
        <v>13870</v>
      </c>
      <c r="L11" s="41" t="s">
        <v>54</v>
      </c>
      <c r="M11" s="42" t="s">
        <v>55</v>
      </c>
      <c r="N11" s="42" t="s">
        <v>56</v>
      </c>
      <c r="O11" s="43" t="s">
        <v>57</v>
      </c>
      <c r="P11" s="43" t="s">
        <v>58</v>
      </c>
    </row>
    <row r="12" spans="1:16" ht="12.75" customHeight="1" thickBot="1" x14ac:dyDescent="0.25">
      <c r="A12" s="10" t="str">
        <f>P12</f>
        <v> BBS 133 (=IBVS 5781) </v>
      </c>
      <c r="B12" s="3" t="str">
        <f>IF(H12=INT(H12),"I","II")</f>
        <v>I</v>
      </c>
      <c r="C12" s="10">
        <f>1*G12</f>
        <v>54200.417399999998</v>
      </c>
      <c r="D12" s="12" t="str">
        <f>VLOOKUP(F12,I$1:J$5,2,FALSE)</f>
        <v>vis</v>
      </c>
      <c r="E12" s="40">
        <f>VLOOKUP(C12,Active!C$21:E$973,3,FALSE)</f>
        <v>1685.0339043540289</v>
      </c>
      <c r="F12" s="3" t="s">
        <v>50</v>
      </c>
      <c r="G12" s="12" t="str">
        <f>MID(I12,3,LEN(I12)-3)</f>
        <v>54200.4174</v>
      </c>
      <c r="H12" s="10">
        <f>1*K12</f>
        <v>16388</v>
      </c>
      <c r="I12" s="41" t="s">
        <v>59</v>
      </c>
      <c r="J12" s="42" t="s">
        <v>60</v>
      </c>
      <c r="K12" s="41">
        <v>16388</v>
      </c>
      <c r="L12" s="41" t="s">
        <v>61</v>
      </c>
      <c r="M12" s="42" t="s">
        <v>62</v>
      </c>
      <c r="N12" s="42" t="s">
        <v>50</v>
      </c>
      <c r="O12" s="43" t="s">
        <v>63</v>
      </c>
      <c r="P12" s="43" t="s">
        <v>64</v>
      </c>
    </row>
    <row r="13" spans="1:16" ht="12.75" customHeight="1" thickBot="1" x14ac:dyDescent="0.25">
      <c r="A13" s="10" t="str">
        <f>P13</f>
        <v>BAVM 201 </v>
      </c>
      <c r="B13" s="3" t="str">
        <f>IF(H13=INT(H13),"I","II")</f>
        <v>I</v>
      </c>
      <c r="C13" s="10">
        <f>1*G13</f>
        <v>54555.471599999997</v>
      </c>
      <c r="D13" s="12" t="str">
        <f>VLOOKUP(F13,I$1:J$5,2,FALSE)</f>
        <v>vis</v>
      </c>
      <c r="E13" s="40">
        <f>VLOOKUP(C13,Active!C$21:E$973,3,FALSE)</f>
        <v>2037.0187960980199</v>
      </c>
      <c r="F13" s="3" t="s">
        <v>50</v>
      </c>
      <c r="G13" s="12" t="str">
        <f>MID(I13,3,LEN(I13)-3)</f>
        <v>54555.4716</v>
      </c>
      <c r="H13" s="10">
        <f>1*K13</f>
        <v>16740</v>
      </c>
      <c r="I13" s="41" t="s">
        <v>65</v>
      </c>
      <c r="J13" s="42" t="s">
        <v>66</v>
      </c>
      <c r="K13" s="41">
        <v>16740</v>
      </c>
      <c r="L13" s="41" t="s">
        <v>67</v>
      </c>
      <c r="M13" s="42" t="s">
        <v>62</v>
      </c>
      <c r="N13" s="42" t="s">
        <v>50</v>
      </c>
      <c r="O13" s="43" t="s">
        <v>68</v>
      </c>
      <c r="P13" s="44" t="s">
        <v>69</v>
      </c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7" type="noConversion"/>
  <hyperlinks>
    <hyperlink ref="P13" r:id="rId1" display="http://www.bav-astro.de/sfs/BAVM_link.php?BAVMnr=20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2024-01-30T02:46:40Z</dcterms:modified>
</cp:coreProperties>
</file>