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66F80A8-C2EC-4C11-8466-FC23F32D00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 s="1"/>
  <c r="G22" i="1" s="1"/>
  <c r="K22" i="1" s="1"/>
  <c r="Q22" i="1"/>
  <c r="G11" i="1"/>
  <c r="F11" i="1"/>
  <c r="C21" i="1"/>
  <c r="A21" i="1"/>
  <c r="F15" i="1" l="1"/>
  <c r="E21" i="1"/>
  <c r="F21" i="1" s="1"/>
  <c r="G21" i="1" s="1"/>
  <c r="C17" i="1"/>
  <c r="Q21" i="1"/>
  <c r="C12" i="1"/>
  <c r="C11" i="1"/>
  <c r="O22" i="1" l="1"/>
  <c r="C16" i="1"/>
  <c r="D18" i="1" s="1"/>
  <c r="C15" i="1"/>
  <c r="O21" i="1"/>
  <c r="I21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<sst xmlns="http://schemas.openxmlformats.org/spreadsheetml/2006/main" count="55" uniqueCount="51">
  <si>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</si>
  <si>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</si>
  <si>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</si>
  <si>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</si>
  <si>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</si>
  <si>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</si>
  <si>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</si>
  <si>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</si>
  <si>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</si>
  <si>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</si>
  <si>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</si>
  <si>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</si>
  <si>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</si>
  <si>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</si>
  <si>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</si>
  <si>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</si>
  <si>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</si>
  <si>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</si>
  <si>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</si>
  <si>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</si>
  <si>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</si>
  <si>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</si>
  <si>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</si>
  <si>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</si>
  <si>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</si>
  <si>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</si>
  <si>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</si>
  <si>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</si>
  <si>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</si>
  <si>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</si>
  <si>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</si>
  <si>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</si>
  <si>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</si>
  <si>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</si>
  <si>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</si>
  <si>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</si>
  <si>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</si>
  <si>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</si>
  <si>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PE</t>
  </si>
  <si>
    <t>CCD</t>
  </si>
  <si>
    <t>XX Xxx</t>
  </si>
  <si>
    <t>Local time</t>
  </si>
  <si>
    <t>Add Star</t>
  </si>
  <si>
    <t>JBAV, 79</t>
  </si>
  <si>
    <t>I</t>
  </si>
  <si>
    <t>AK Crt</t>
  </si>
  <si>
    <t>EA+DSCT</t>
  </si>
  <si>
    <t>VSX</t>
  </si>
  <si>
    <t xml:space="preserve">Mag </t>
  </si>
  <si>
    <t>Next ToM-P</t>
  </si>
  <si>
    <t>Next ToM-S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</si>
</sst>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5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43" fontId="19" fillId="0" borderId="0" xfId="8" applyFont="1" applyBorder="1"/>
    <xf numFmtId="0" fontId="6" fillId="0" borderId="0" xfId="0" applyFont="1" applyAlignment="1"/>
    <xf numFmtId="166" fontId="0" fillId="0" borderId="0" xfId="0" applyNumberFormat="1" applyAlignment="1">
      <alignment horizontal="left"/>
    </xf>
    <xf numFmtId="166" fontId="19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right"/>
    </xf>
    <xf numFmtId="0" fontId="20" fillId="0" borderId="8" xfId="0" applyFont="1" applyBorder="1" applyAlignment="1">
      <alignment horizontal="right" vertical="center"/>
    </xf>
    <xf numFmtId="0" fontId="20" fillId="0" borderId="11" xfId="0" applyFont="1" applyBorder="1" applyAlignment="1">
      <alignment horizontal="right" vertical="center"/>
    </xf>
    <xf numFmtId="0" fontId="6" fillId="5" borderId="6" xfId="0" applyFont="1" applyFill="1" applyBorder="1" applyAlignment="1">
      <alignment horizontal="right" vertical="center"/>
    </xf>
    <xf numFmtId="0" fontId="6" fillId="5" borderId="7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right" vertical="center"/>
    </xf>
    <xf numFmtId="22" fontId="21" fillId="0" borderId="9" xfId="0" applyNumberFormat="1" applyFont="1" applyBorder="1" applyAlignment="1">
      <alignment horizontal="right" vertical="center"/>
    </xf>
    <xf numFmtId="22" fontId="21" fillId="0" borderId="10" xfId="0" applyNumberFormat="1" applyFont="1" applyBorder="1" applyAlignment="1">
      <alignment horizontal="right" vertical="center"/>
    </xf>
    <xf numFmtId="0" fontId="22" fillId="0" borderId="9" xfId="0" applyFont="1" applyBorder="1" applyAlignment="1">
      <alignment horizontal="right" vertical="center"/>
    </xf>
    <xf numFmtId="0" fontId="19" fillId="0" borderId="0" xfId="8" applyNumberFormat="1" applyFont="1" applyBorder="1"/>
    <xf numFmtId="0" fontId="19" fillId="0" borderId="0" xfId="0" applyFont="1" applyAlignment="1">
      <alignment horizontal="left" vertical="center" wrapText="1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AK Crt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0.61296199997741496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0.61296199997741496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M36" sqref="M3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425781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2" t="s">
        <v>45</v>
      </c>
      <c r="F1" s="27" t="s">
        <v>42</v>
      </c>
      <c r="G1" s="23"/>
      <c r="H1" s="21"/>
      <c r="I1" s="28"/>
      <c r="J1" s="29" t="s">
        <v>40</v>
      </c>
      <c r="K1" s="22"/>
      <c r="L1" s="24"/>
      <c r="M1" s="25"/>
      <c r="N1" s="25"/>
      <c r="O1" s="26"/>
    </row>
    <row r="2" spans="1:15" x14ac:dyDescent="0.2">
      <c r="A2" t="s">
        <v>23</v>
      </c>
      <c r="B2" s="37" t="s">
        <v>46</v>
      </c>
      <c r="C2" s="30"/>
      <c r="D2" s="2"/>
    </row>
    <row r="4" spans="1:15" x14ac:dyDescent="0.2">
      <c r="A4" s="33" t="s">
        <v>0</v>
      </c>
      <c r="C4" s="2" t="s">
        <v>36</v>
      </c>
      <c r="D4" s="2" t="s">
        <v>36</v>
      </c>
    </row>
    <row r="5" spans="1:15" x14ac:dyDescent="0.2">
      <c r="A5" s="34" t="s">
        <v>28</v>
      </c>
      <c r="B5" s="7"/>
      <c r="C5" s="31">
        <v>-9.5</v>
      </c>
      <c r="D5" s="7" t="s">
        <v>29</v>
      </c>
      <c r="E5" s="7"/>
    </row>
    <row r="6" spans="1:15" x14ac:dyDescent="0.2">
      <c r="A6" s="33" t="s">
        <v>1</v>
      </c>
    </row>
    <row r="7" spans="1:15" x14ac:dyDescent="0.2">
      <c r="A7" t="s">
        <v>2</v>
      </c>
      <c r="C7" s="40">
        <v>51956.9735</v>
      </c>
      <c r="D7" s="35" t="s">
        <v>47</v>
      </c>
    </row>
    <row r="8" spans="1:15" x14ac:dyDescent="0.2">
      <c r="A8" t="s">
        <v>3</v>
      </c>
      <c r="C8" s="40">
        <v>2.7787579999999998</v>
      </c>
      <c r="D8" s="35" t="s">
        <v>47</v>
      </c>
    </row>
    <row r="9" spans="1:15" x14ac:dyDescent="0.2">
      <c r="A9" s="18" t="s">
        <v>31</v>
      </c>
      <c r="B9" s="19">
        <v>21</v>
      </c>
      <c r="C9" s="16"/>
      <c r="D9" s="17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5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5">
        <f ca="1">SLOPE(INDIRECT($G$11):G992,INDIRECT($F$11):F992)</f>
        <v>2.1056750256867571E-4</v>
      </c>
      <c r="D12" s="2"/>
      <c r="E12" s="43" t="s">
        <v>48</v>
      </c>
      <c r="F12" s="44"/>
    </row>
    <row r="13" spans="1:15" x14ac:dyDescent="0.2">
      <c r="A13" s="7" t="s">
        <v>18</v>
      </c>
      <c r="B13" s="7"/>
      <c r="C13" s="2" t="s">
        <v>13</v>
      </c>
      <c r="E13" s="41" t="s">
        <v>33</v>
      </c>
      <c r="F13" s="48">
        <v>1</v>
      </c>
    </row>
    <row r="14" spans="1:15" x14ac:dyDescent="0.2">
      <c r="A14" s="7"/>
      <c r="B14" s="7"/>
      <c r="C14" s="7"/>
      <c r="E14" s="41" t="s">
        <v>30</v>
      </c>
      <c r="F14" s="45">
        <f ca="1">NOW()+15018.5+$C$5/24</f>
        <v>60525.731340162034</v>
      </c>
    </row>
    <row r="15" spans="1:15" x14ac:dyDescent="0.2">
      <c r="A15" s="8" t="s">
        <v>17</v>
      </c>
      <c r="B15" s="7"/>
      <c r="C15" s="9">
        <f ca="1">(C7+C11)+(C8+C12)*INT(MAX(F21:F3533))</f>
        <v>60046.550999999978</v>
      </c>
      <c r="E15" s="41" t="s">
        <v>34</v>
      </c>
      <c r="F15" s="45">
        <f ca="1">ROUND(2*($F$14-$C$7)/$C$8,0)/2+$F$13</f>
        <v>3084.5</v>
      </c>
    </row>
    <row r="16" spans="1:15" x14ac:dyDescent="0.2">
      <c r="A16" s="11" t="s">
        <v>4</v>
      </c>
      <c r="B16" s="7"/>
      <c r="C16" s="12">
        <f ca="1">+C8+C12</f>
        <v>2.7789685675025684</v>
      </c>
      <c r="E16" s="41" t="s">
        <v>35</v>
      </c>
      <c r="F16" s="45">
        <f ca="1">ROUND(2*($F$14-$C$15)/$C$16,0)/2+$F$13</f>
        <v>173.5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41" t="s">
        <v>49</v>
      </c>
      <c r="F17" s="46">
        <f ca="1">+$C$15+$C$16*$F$16-15018.5-$C$5/24</f>
        <v>45510.597879795008</v>
      </c>
    </row>
    <row r="18" spans="1:21" ht="14.25" thickTop="1" thickBot="1" x14ac:dyDescent="0.25">
      <c r="A18" s="11" t="s">
        <v>5</v>
      </c>
      <c r="B18" s="7"/>
      <c r="C18" s="13">
        <f ca="1">+C15</f>
        <v>60046.550999999978</v>
      </c>
      <c r="D18" s="14">
        <f ca="1">+C16</f>
        <v>2.7789685675025684</v>
      </c>
      <c r="E18" s="42" t="s">
        <v>50</v>
      </c>
      <c r="F18" s="47">
        <f ca="1">+($C$15+$C$16*$F$16)-($C$16/2)-15018.5-$C$5/24</f>
        <v>45509.208395511254</v>
      </c>
    </row>
    <row r="19" spans="1:21" ht="13.5" thickTop="1" x14ac:dyDescent="0.2">
      <c r="F19" t="s">
        <v>41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37</v>
      </c>
      <c r="I20" s="5" t="s">
        <v>47</v>
      </c>
      <c r="J20" s="5" t="s">
        <v>38</v>
      </c>
      <c r="K20" s="5" t="s">
        <v>39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0" t="s">
        <v>32</v>
      </c>
    </row>
    <row r="21" spans="1:21" x14ac:dyDescent="0.2">
      <c r="A21" t="str">
        <f>D7</f>
        <v>VSX</v>
      </c>
      <c r="C21" s="38">
        <f>C$7</f>
        <v>51956.9735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1">
        <f>+C21-15018.5</f>
        <v>36938.4735</v>
      </c>
    </row>
    <row r="22" spans="1:21" x14ac:dyDescent="0.2">
      <c r="A22" s="49" t="s">
        <v>43</v>
      </c>
      <c r="B22" s="36" t="s">
        <v>44</v>
      </c>
      <c r="C22" s="39">
        <v>60046.550999999978</v>
      </c>
      <c r="D22" s="50">
        <v>0.02</v>
      </c>
      <c r="E22">
        <f>+(C22-C$7)/C$8</f>
        <v>2911.22058847873</v>
      </c>
      <c r="F22">
        <f>ROUND(2*E22,0)/2</f>
        <v>2911</v>
      </c>
      <c r="G22">
        <f>+C22-(C$7+F22*C$8)</f>
        <v>0.61296199997741496</v>
      </c>
      <c r="K22">
        <f>+G22</f>
        <v>0.61296199997741496</v>
      </c>
      <c r="O22">
        <f ca="1">+C$11+C$12*$F22</f>
        <v>0.61296199997741496</v>
      </c>
      <c r="Q22" s="1">
        <f>+C22-15018.5</f>
        <v>45028.050999999978</v>
      </c>
    </row>
    <row r="23" spans="1:21" x14ac:dyDescent="0.2">
      <c r="C23" s="38"/>
      <c r="D23" s="6"/>
      <c r="Q23" s="1"/>
    </row>
    <row r="24" spans="1:21" x14ac:dyDescent="0.2">
      <c r="C24" s="38"/>
      <c r="D24" s="6"/>
      <c r="Q24" s="1"/>
    </row>
    <row r="25" spans="1:21" x14ac:dyDescent="0.2">
      <c r="C25" s="38"/>
      <c r="D25" s="6"/>
      <c r="Q25" s="1"/>
    </row>
    <row r="26" spans="1:21" x14ac:dyDescent="0.2">
      <c r="C26" s="38"/>
      <c r="D26" s="6"/>
      <c r="Q26" s="1"/>
    </row>
    <row r="27" spans="1:21" x14ac:dyDescent="0.2">
      <c r="C27" s="38"/>
      <c r="D27" s="6"/>
      <c r="Q27" s="1"/>
    </row>
    <row r="28" spans="1:21" x14ac:dyDescent="0.2">
      <c r="C28" s="38"/>
      <c r="D28" s="6"/>
      <c r="Q28" s="1"/>
    </row>
    <row r="29" spans="1:21" x14ac:dyDescent="0.2">
      <c r="C29" s="38"/>
      <c r="D29" s="6"/>
      <c r="Q29" s="1"/>
    </row>
    <row r="30" spans="1:21" x14ac:dyDescent="0.2">
      <c r="C30" s="38"/>
      <c r="D30" s="6"/>
      <c r="Q30" s="1"/>
    </row>
    <row r="31" spans="1:21" x14ac:dyDescent="0.2">
      <c r="C31" s="38"/>
      <c r="D31" s="6"/>
      <c r="Q31" s="1"/>
    </row>
    <row r="32" spans="1:21" x14ac:dyDescent="0.2">
      <c r="C32" s="38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2024-08-03T05:33:07Z</dcterms:modified>
</cp:coreProperties>
</file>