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EF897AC-CC57-4F0F-8305-BA04D59AF6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H22" i="1" s="1"/>
  <c r="Q22" i="1"/>
  <c r="F14" i="1"/>
  <c r="E23" i="1"/>
  <c r="F23" i="1" s="1"/>
  <c r="G23" i="1" s="1"/>
  <c r="I23" i="1" s="1"/>
  <c r="E24" i="1"/>
  <c r="F24" i="1" s="1"/>
  <c r="G24" i="1" s="1"/>
  <c r="I24" i="1" s="1"/>
  <c r="E25" i="1"/>
  <c r="F25" i="1" s="1"/>
  <c r="G25" i="1" s="1"/>
  <c r="I25" i="1" s="1"/>
  <c r="Q23" i="1"/>
  <c r="Q24" i="1"/>
  <c r="Q25" i="1"/>
  <c r="F11" i="1"/>
  <c r="E21" i="1"/>
  <c r="F21" i="1" s="1"/>
  <c r="G21" i="1" s="1"/>
  <c r="H21" i="1" s="1"/>
  <c r="G11" i="1"/>
  <c r="Q21" i="1"/>
  <c r="C17" i="1"/>
  <c r="C12" i="1"/>
  <c r="F15" i="1" l="1"/>
  <c r="C16" i="1"/>
  <c r="D18" i="1" s="1"/>
  <c r="C11" i="1"/>
  <c r="O22" i="1" l="1"/>
  <c r="S22" i="1" s="1"/>
  <c r="O21" i="1"/>
  <c r="S21" i="1" s="1"/>
  <c r="O25" i="1"/>
  <c r="S25" i="1" s="1"/>
  <c r="O23" i="1"/>
  <c r="S23" i="1" s="1"/>
  <c r="O24" i="1"/>
  <c r="S24" i="1" s="1"/>
  <c r="C15" i="1"/>
  <c r="F16" i="1" l="1"/>
  <c r="F18" i="1" s="1"/>
  <c r="C18" i="1"/>
  <c r="S19" i="1"/>
  <c r="F17" i="1" l="1"/>
</calcChain>
</file>

<file path=xl/sharedStrings.xml><?xml version="1.0" encoding="utf-8"?>
<sst xmlns="http://schemas.openxmlformats.org/spreadsheetml/2006/main" count="64" uniqueCount="56">
  <si>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</si>
  <si>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</si>
  <si>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</si>
  <si>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</si>
  <si>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</si>
  <si>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</si>
  <si>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</si>
  <si>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</si>
  <si>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</si>
  <si>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</si>
  <si>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</si>
  <si>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</si>
  <si>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</si>
  <si>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</si>
  <si>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</si>
  <si>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</si>
  <si>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</si>
  <si>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</si>
  <si>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</si>
  <si>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</si>
  <si>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</si>
  <si>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</si>
  <si>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</si>
  <si>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</si>
  <si>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</si>
  <si>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</si>
  <si>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</si>
  <si>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</si>
  <si>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</si>
  <si>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</si>
  <si>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</si>
  <si>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</si>
  <si>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</si>
  <si>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</si>
  <si>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</si>
  <si>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</si>
  <si>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</si>
  <si>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</si>
  <si>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</si>
  <si>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G6085-0670</t>
  </si>
  <si>
    <t>G6085-0670_Crt.xls</t>
  </si>
  <si>
    <t>Crt</t>
  </si>
  <si>
    <t>VSX</t>
  </si>
  <si>
    <t>IBVS 5992</t>
  </si>
  <si>
    <t>I</t>
  </si>
  <si>
    <t>IBVS 6029</t>
  </si>
  <si>
    <t>BC Crt / GSC 6085-0670</t>
  </si>
  <si>
    <t>CCD</t>
  </si>
  <si>
    <t xml:space="preserve">Mag </t>
  </si>
  <si>
    <t>Next ToM-P</t>
  </si>
  <si>
    <t>Next ToM-S</t>
  </si>
  <si>
    <t>12.00-13.50</t>
  </si>
  <si>
    <t>VSX 1</t>
  </si>
  <si>
    <t>VSX 2</t>
  </si>
  <si>
    <t>EA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</si>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</sst>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7" fillId="0" borderId="7" xfId="0" applyFont="1" applyBorder="1" applyAlignment="1">
      <alignment horizontal="right" vertical="center"/>
    </xf>
    <xf numFmtId="22" fontId="17" fillId="0" borderId="7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6" fillId="3" borderId="5" xfId="0" applyFont="1" applyFill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22" fontId="18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6" fillId="3" borderId="6" xfId="0" applyFont="1" applyFill="1" applyBorder="1" applyAlignment="1">
      <alignment horizontal="center" vertical="center"/>
    </xf>
    <xf numFmtId="0" fontId="16" fillId="0" borderId="0" xfId="0" applyFont="1" applyAlignment="1"/>
    <xf numFmtId="0" fontId="16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BC Crt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1.2999999999999999E-3</c:v>
                  </c:pt>
                  <c:pt idx="3">
                    <c:v>1.2999999999999999E-3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1.2999999999999999E-3</c:v>
                  </c:pt>
                  <c:pt idx="3">
                    <c:v>1.2999999999999999E-3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-877.5</c:v>
                </c:pt>
                <c:pt idx="1">
                  <c:v>0</c:v>
                </c:pt>
                <c:pt idx="2">
                  <c:v>347</c:v>
                </c:pt>
                <c:pt idx="3">
                  <c:v>361</c:v>
                </c:pt>
                <c:pt idx="4">
                  <c:v>463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-3.4075000585289672E-3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6C-40A8-8C0F-4882BDA3167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1.2999999999999999E-3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1.2999999999999999E-3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-877.5</c:v>
                </c:pt>
                <c:pt idx="1">
                  <c:v>0</c:v>
                </c:pt>
                <c:pt idx="2">
                  <c:v>347</c:v>
                </c:pt>
                <c:pt idx="3">
                  <c:v>361</c:v>
                </c:pt>
                <c:pt idx="4">
                  <c:v>463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1.7810999997891486E-2</c:v>
                </c:pt>
                <c:pt idx="3">
                  <c:v>1.8492999995942228E-2</c:v>
                </c:pt>
                <c:pt idx="4">
                  <c:v>2.4119000001519453E-2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6C-40A8-8C0F-4882BDA3167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1.2999999999999999E-3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1.2999999999999999E-3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-877.5</c:v>
                </c:pt>
                <c:pt idx="1">
                  <c:v>0</c:v>
                </c:pt>
                <c:pt idx="2">
                  <c:v>347</c:v>
                </c:pt>
                <c:pt idx="3">
                  <c:v>361</c:v>
                </c:pt>
                <c:pt idx="4">
                  <c:v>463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6C-40A8-8C0F-4882BDA3167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1.2999999999999999E-3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1.2999999999999999E-3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-877.5</c:v>
                </c:pt>
                <c:pt idx="1">
                  <c:v>0</c:v>
                </c:pt>
                <c:pt idx="2">
                  <c:v>347</c:v>
                </c:pt>
                <c:pt idx="3">
                  <c:v>361</c:v>
                </c:pt>
                <c:pt idx="4">
                  <c:v>463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6C-40A8-8C0F-4882BDA3167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1.2999999999999999E-3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1.2999999999999999E-3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-877.5</c:v>
                </c:pt>
                <c:pt idx="1">
                  <c:v>0</c:v>
                </c:pt>
                <c:pt idx="2">
                  <c:v>347</c:v>
                </c:pt>
                <c:pt idx="3">
                  <c:v>361</c:v>
                </c:pt>
                <c:pt idx="4">
                  <c:v>463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6C-40A8-8C0F-4882BDA3167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1.2999999999999999E-3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1.2999999999999999E-3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-877.5</c:v>
                </c:pt>
                <c:pt idx="1">
                  <c:v>0</c:v>
                </c:pt>
                <c:pt idx="2">
                  <c:v>347</c:v>
                </c:pt>
                <c:pt idx="3">
                  <c:v>361</c:v>
                </c:pt>
                <c:pt idx="4">
                  <c:v>463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6C-40A8-8C0F-4882BDA3167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1.2999999999999999E-3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1.2999999999999999E-3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-877.5</c:v>
                </c:pt>
                <c:pt idx="1">
                  <c:v>0</c:v>
                </c:pt>
                <c:pt idx="2">
                  <c:v>347</c:v>
                </c:pt>
                <c:pt idx="3">
                  <c:v>361</c:v>
                </c:pt>
                <c:pt idx="4">
                  <c:v>463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6C-40A8-8C0F-4882BDA3167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-877.5</c:v>
                </c:pt>
                <c:pt idx="1">
                  <c:v>0</c:v>
                </c:pt>
                <c:pt idx="2">
                  <c:v>347</c:v>
                </c:pt>
                <c:pt idx="3">
                  <c:v>361</c:v>
                </c:pt>
                <c:pt idx="4">
                  <c:v>463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-6.7898890442322224E-3</c:v>
                </c:pt>
                <c:pt idx="1">
                  <c:v>1.026239452255524E-2</c:v>
                </c:pt>
                <c:pt idx="2">
                  <c:v>1.7005576742128173E-2</c:v>
                </c:pt>
                <c:pt idx="3">
                  <c:v>1.7277635967125352E-2</c:v>
                </c:pt>
                <c:pt idx="4">
                  <c:v>1.9259781749247654E-2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6C-40A8-8C0F-4882BDA3167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-877.5</c:v>
                </c:pt>
                <c:pt idx="1">
                  <c:v>0</c:v>
                </c:pt>
                <c:pt idx="2">
                  <c:v>347</c:v>
                </c:pt>
                <c:pt idx="3">
                  <c:v>361</c:v>
                </c:pt>
                <c:pt idx="4">
                  <c:v>463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76C-40A8-8C0F-4882BDA31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363744"/>
        <c:axId val="1"/>
      </c:scatterChart>
      <c:valAx>
        <c:axId val="610363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0363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C8DA65F-F3B0-FAD6-2882-CACE93193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710937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46</v>
      </c>
      <c r="E1" t="s">
        <v>40</v>
      </c>
    </row>
    <row r="2" spans="1:7" x14ac:dyDescent="0.2">
      <c r="A2" t="s">
        <v>23</v>
      </c>
      <c r="B2" s="44" t="s">
        <v>54</v>
      </c>
      <c r="C2" s="28" t="s">
        <v>38</v>
      </c>
      <c r="D2" s="3" t="s">
        <v>41</v>
      </c>
      <c r="E2" s="29" t="s">
        <v>39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  <c r="E6" s="45" t="s">
        <v>52</v>
      </c>
    </row>
    <row r="7" spans="1:7" x14ac:dyDescent="0.2">
      <c r="A7" t="s">
        <v>2</v>
      </c>
      <c r="C7" s="34">
        <v>54561.784</v>
      </c>
      <c r="D7" s="27" t="s">
        <v>53</v>
      </c>
      <c r="E7" s="46">
        <v>51875.939999999944</v>
      </c>
    </row>
    <row r="8" spans="1:7" x14ac:dyDescent="0.2">
      <c r="A8" t="s">
        <v>3</v>
      </c>
      <c r="C8" s="34">
        <v>3.0607869999999999</v>
      </c>
      <c r="D8" s="27" t="s">
        <v>53</v>
      </c>
      <c r="E8" s="47">
        <v>3.0607000000000002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1.026239452255524E-2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1.9432801785512776E-5</v>
      </c>
      <c r="D12" s="3"/>
      <c r="E12" s="38" t="s">
        <v>48</v>
      </c>
      <c r="F12" s="43" t="s">
        <v>51</v>
      </c>
    </row>
    <row r="13" spans="1:7" x14ac:dyDescent="0.2">
      <c r="A13" s="10" t="s">
        <v>18</v>
      </c>
      <c r="B13" s="10"/>
      <c r="C13" s="3" t="s">
        <v>13</v>
      </c>
      <c r="D13" s="14"/>
      <c r="E13" s="35" t="s">
        <v>34</v>
      </c>
      <c r="F13" s="42">
        <v>1</v>
      </c>
    </row>
    <row r="14" spans="1:7" x14ac:dyDescent="0.2">
      <c r="A14" s="10"/>
      <c r="B14" s="10"/>
      <c r="C14" s="10"/>
      <c r="D14" s="14"/>
      <c r="E14" s="35" t="s">
        <v>31</v>
      </c>
      <c r="F14" s="39">
        <f ca="1">NOW()+15018.5+$C$9/24</f>
        <v>60525.753783912034</v>
      </c>
    </row>
    <row r="15" spans="1:7" x14ac:dyDescent="0.2">
      <c r="A15" s="12" t="s">
        <v>17</v>
      </c>
      <c r="B15" s="10"/>
      <c r="C15" s="13">
        <f ca="1">(C7+C11)+(C8+C12)*INT(MAX(F21:F3533))</f>
        <v>55978.947640781749</v>
      </c>
      <c r="D15" s="14"/>
      <c r="E15" s="35" t="s">
        <v>35</v>
      </c>
      <c r="F15" s="39">
        <f ca="1">ROUND(2*($F$14-$C$7)/$C$8,0)/2+$F$13</f>
        <v>1949.5</v>
      </c>
    </row>
    <row r="16" spans="1:7" x14ac:dyDescent="0.2">
      <c r="A16" s="15" t="s">
        <v>4</v>
      </c>
      <c r="B16" s="10"/>
      <c r="C16" s="16">
        <f ca="1">+C8+C12</f>
        <v>3.0608064328017854</v>
      </c>
      <c r="D16" s="14"/>
      <c r="E16" s="35" t="s">
        <v>36</v>
      </c>
      <c r="F16" s="39">
        <f ca="1">ROUND(2*($F$14-$C$15)/$C$16,0)/2+$F$13</f>
        <v>1486.5</v>
      </c>
    </row>
    <row r="17" spans="1:19" ht="13.5" thickBot="1" x14ac:dyDescent="0.25">
      <c r="A17" s="14" t="s">
        <v>28</v>
      </c>
      <c r="B17" s="10"/>
      <c r="C17" s="10">
        <f>COUNT(C21:C2191)</f>
        <v>5</v>
      </c>
      <c r="D17" s="14"/>
      <c r="E17" s="36" t="s">
        <v>49</v>
      </c>
      <c r="F17" s="40">
        <f ca="1">+$C$15+$C$16*$F$16-15018.5-$C$9/24</f>
        <v>45510.732236474942</v>
      </c>
    </row>
    <row r="18" spans="1:19" ht="14.25" thickTop="1" thickBot="1" x14ac:dyDescent="0.25">
      <c r="A18" s="15" t="s">
        <v>5</v>
      </c>
      <c r="B18" s="10"/>
      <c r="C18" s="17">
        <f ca="1">+C15</f>
        <v>55978.947640781749</v>
      </c>
      <c r="D18" s="18">
        <f ca="1">+C16</f>
        <v>3.0608064328017854</v>
      </c>
      <c r="E18" s="37" t="s">
        <v>50</v>
      </c>
      <c r="F18" s="41">
        <f ca="1">+($C$15+$C$16*$F$16)-($C$16/2)-15018.5-$C$9/24</f>
        <v>45509.201833258543</v>
      </c>
    </row>
    <row r="19" spans="1:19" ht="13.5" thickTop="1" x14ac:dyDescent="0.2">
      <c r="A19" s="22" t="s">
        <v>32</v>
      </c>
      <c r="E19" s="23">
        <v>21</v>
      </c>
      <c r="S19">
        <f ca="1">SQRT(SUM(S21:S50)/(COUNT(S21:S50)-1))</f>
        <v>5.9685658862463822E-3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55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9" x14ac:dyDescent="0.2">
      <c r="A21" s="44" t="s">
        <v>52</v>
      </c>
      <c r="C21" s="8">
        <v>51875.939999999944</v>
      </c>
      <c r="D21" s="8" t="s">
        <v>13</v>
      </c>
      <c r="E21">
        <f>+(C21-C$7)/C$8</f>
        <v>-877.50111327578679</v>
      </c>
      <c r="F21">
        <f>ROUND(2*E21,0)/2</f>
        <v>-877.5</v>
      </c>
      <c r="G21">
        <f>+C21-(C$7+F21*C$8)</f>
        <v>-3.4075000585289672E-3</v>
      </c>
      <c r="H21">
        <f>+G21</f>
        <v>-3.4075000585289672E-3</v>
      </c>
      <c r="O21">
        <f ca="1">+C$11+C$12*$F21</f>
        <v>-6.7898890442322224E-3</v>
      </c>
      <c r="Q21" s="2">
        <f>+C21-15018.5</f>
        <v>36857.439999999944</v>
      </c>
      <c r="S21">
        <f ca="1">+(O21-G21)^2</f>
        <v>1.1440555250606695E-5</v>
      </c>
    </row>
    <row r="22" spans="1:19" x14ac:dyDescent="0.2">
      <c r="A22" s="44" t="s">
        <v>53</v>
      </c>
      <c r="C22" s="8">
        <v>54561.784</v>
      </c>
      <c r="D22" s="8"/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1.026239452255524E-2</v>
      </c>
      <c r="Q22" s="2">
        <f>+C22-15018.5</f>
        <v>39543.284</v>
      </c>
      <c r="S22">
        <f ca="1">+(O22-G22)^2</f>
        <v>1.0531674133657178E-4</v>
      </c>
    </row>
    <row r="23" spans="1:19" x14ac:dyDescent="0.2">
      <c r="A23" s="30" t="s">
        <v>43</v>
      </c>
      <c r="B23" s="31" t="s">
        <v>44</v>
      </c>
      <c r="C23" s="30">
        <v>55623.894899999999</v>
      </c>
      <c r="D23" s="30">
        <v>1.2999999999999999E-3</v>
      </c>
      <c r="E23">
        <f>+(C23-C$7)/C$8</f>
        <v>347.00581909162571</v>
      </c>
      <c r="F23">
        <f>ROUND(2*E23,0)/2</f>
        <v>347</v>
      </c>
      <c r="G23">
        <f>+C23-(C$7+F23*C$8)</f>
        <v>1.7810999997891486E-2</v>
      </c>
      <c r="I23">
        <f>+G23</f>
        <v>1.7810999997891486E-2</v>
      </c>
      <c r="O23">
        <f ca="1">+C$11+C$12*$F23</f>
        <v>1.7005576742128173E-2</v>
      </c>
      <c r="Q23" s="2">
        <f>+C23-15018.5</f>
        <v>40605.394899999999</v>
      </c>
      <c r="S23">
        <f ca="1">+(O23-G23)^2</f>
        <v>6.487066209243749E-7</v>
      </c>
    </row>
    <row r="24" spans="1:19" x14ac:dyDescent="0.2">
      <c r="A24" s="30" t="s">
        <v>43</v>
      </c>
      <c r="B24" s="31" t="s">
        <v>44</v>
      </c>
      <c r="C24" s="30">
        <v>55666.746599999999</v>
      </c>
      <c r="D24" s="30">
        <v>1.2999999999999999E-3</v>
      </c>
      <c r="E24">
        <f>+(C24-C$7)/C$8</f>
        <v>361.00604191013582</v>
      </c>
      <c r="F24">
        <f>ROUND(2*E24,0)/2</f>
        <v>361</v>
      </c>
      <c r="G24">
        <f>+C24-(C$7+F24*C$8)</f>
        <v>1.8492999995942228E-2</v>
      </c>
      <c r="I24">
        <f>+G24</f>
        <v>1.8492999995942228E-2</v>
      </c>
      <c r="O24">
        <f ca="1">+C$11+C$12*$F24</f>
        <v>1.7277635967125352E-2</v>
      </c>
      <c r="Q24" s="2">
        <f>+C24-15018.5</f>
        <v>40648.246599999999</v>
      </c>
      <c r="S24">
        <f ca="1">+(O24-G24)^2</f>
        <v>1.4771097225419881E-6</v>
      </c>
    </row>
    <row r="25" spans="1:19" x14ac:dyDescent="0.2">
      <c r="A25" s="32" t="s">
        <v>45</v>
      </c>
      <c r="B25" s="33" t="s">
        <v>44</v>
      </c>
      <c r="C25" s="32">
        <v>55978.952499999999</v>
      </c>
      <c r="D25" s="32">
        <v>5.9999999999999995E-4</v>
      </c>
      <c r="E25">
        <f>+(C25-C$7)/C$8</f>
        <v>463.00787999949029</v>
      </c>
      <c r="F25">
        <f>ROUND(2*E25,0)/2</f>
        <v>463</v>
      </c>
      <c r="G25">
        <f>+C25-(C$7+F25*C$8)</f>
        <v>2.4119000001519453E-2</v>
      </c>
      <c r="I25">
        <f>+G25</f>
        <v>2.4119000001519453E-2</v>
      </c>
      <c r="O25">
        <f ca="1">+C$11+C$12*$F25</f>
        <v>1.9259781749247654E-2</v>
      </c>
      <c r="Q25" s="2">
        <f>+C25-15018.5</f>
        <v>40960.452499999999</v>
      </c>
      <c r="S25">
        <f ca="1">+(O25-G25)^2</f>
        <v>2.3612002023211399E-5</v>
      </c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Z29">
    <sortCondition ref="C21:C29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2024-08-03T06:05:26Z</dcterms:modified>
</cp:coreProperties>
</file>