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669847-8E37-49DC-BDD1-AF2AFFEAA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Q21" i="1"/>
  <c r="E21" i="1"/>
  <c r="F21" i="1" s="1"/>
  <c r="G21" i="1" s="1"/>
  <c r="I21" i="1" s="1"/>
  <c r="C17" i="1"/>
  <c r="C11" i="1"/>
  <c r="C12" i="1"/>
  <c r="F15" i="1" l="1"/>
  <c r="O24" i="1"/>
  <c r="O23" i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<sst xmlns="http://schemas.openxmlformats.org/spreadsheetml/2006/main" count="67" uniqueCount="58">
  <si>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</si>
  <si>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</si>
  <si>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</si>
  <si>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</si>
  <si>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</si>
  <si>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</si>
  <si>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</si>
  <si>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</si>
  <si>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</si>
  <si>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</si>
  <si>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</si>
  <si>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</si>
  <si>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</si>
  <si>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</si>
  <si>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</si>
  <si>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</si>
  <si>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</si>
  <si>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</si>
  <si>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</si>
  <si>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</si>
  <si>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</si>
  <si>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</si>
  <si>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</si>
  <si>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</si>
  <si>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</si>
  <si>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</si>
  <si>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</si>
  <si>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</si>
  <si>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</si>
  <si>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</si>
  <si>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</si>
  <si>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</si>
  <si>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</si>
  <si>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</si>
  <si>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</si>
  <si>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</si>
  <si>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</si>
  <si>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</si>
  <si>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</si>
  <si>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</si>
  <si>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</si>
  <si>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</si>
  <si>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G4920-1092</t>
  </si>
  <si>
    <t>2017i</t>
  </si>
  <si>
    <t>E?</t>
  </si>
  <si>
    <t>JBAV, 55</t>
  </si>
  <si>
    <t>II</t>
  </si>
  <si>
    <t>I</t>
  </si>
  <si>
    <t>JBAV, 63</t>
  </si>
  <si>
    <t>F21</t>
  </si>
  <si>
    <t>G21</t>
  </si>
  <si>
    <t>?CCD</t>
  </si>
  <si>
    <t xml:space="preserve">Mag </t>
  </si>
  <si>
    <t>Next ToM-P</t>
  </si>
  <si>
    <t>Next ToM-S</t>
  </si>
  <si>
    <t>?</t>
  </si>
  <si>
    <t>G4920-1092 Crt</t>
  </si>
  <si>
    <t>Elements 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</si>
</sst>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18" fillId="0" borderId="8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G4920-1095</a:t>
            </a:r>
            <a:r>
              <a:rPr lang="en-AU" baseline="0"/>
              <a:t> Crt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3.1872499792370945E-2</c:v>
                </c:pt>
                <c:pt idx="2">
                  <c:v>2.9830000174115412E-2</c:v>
                </c:pt>
                <c:pt idx="3">
                  <c:v>4.0414000002783723E-2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1.2E-2</c:v>
                  </c:pt>
                  <c:pt idx="2">
                    <c:v>8.9999999999999993E-3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-2.5728709178086603E-4</c:v>
                </c:pt>
                <c:pt idx="1">
                  <c:v>3.3557727280662392E-2</c:v>
                </c:pt>
                <c:pt idx="2">
                  <c:v>3.3567112519178197E-2</c:v>
                </c:pt>
                <c:pt idx="3">
                  <c:v>3.5248947261210348E-2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9007.5</c:v>
                </c:pt>
                <c:pt idx="2">
                  <c:v>9010</c:v>
                </c:pt>
                <c:pt idx="3">
                  <c:v>9458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47625</xdr:rowOff>
    </xdr:from>
    <xdr:to>
      <xdr:col>17</xdr:col>
      <xdr:colOff>152400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56</v>
      </c>
      <c r="F1" s="32" t="s">
        <v>42</v>
      </c>
      <c r="G1" s="29" t="s">
        <v>43</v>
      </c>
      <c r="H1" s="33"/>
      <c r="I1" s="34" t="s">
        <v>42</v>
      </c>
      <c r="J1" s="35" t="s">
        <v>42</v>
      </c>
      <c r="K1" s="36">
        <v>10.5708</v>
      </c>
      <c r="L1" s="37">
        <v>-6.1623999999999999</v>
      </c>
      <c r="M1" s="38">
        <v>51871.77</v>
      </c>
      <c r="N1" s="38">
        <v>0.82561700000000005</v>
      </c>
      <c r="O1" s="39" t="s">
        <v>44</v>
      </c>
    </row>
    <row r="2" spans="1:15" ht="12.95" customHeight="1" x14ac:dyDescent="0.2">
      <c r="A2" t="s">
        <v>23</v>
      </c>
      <c r="B2" t="s">
        <v>44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3">
        <v>51871.77</v>
      </c>
      <c r="D7" s="27" t="s">
        <v>57</v>
      </c>
    </row>
    <row r="8" spans="1:15" ht="12.95" customHeight="1" x14ac:dyDescent="0.2">
      <c r="A8" t="s">
        <v>3</v>
      </c>
      <c r="C8" s="43">
        <v>0.82561700000000005</v>
      </c>
      <c r="D8" s="27" t="s">
        <v>57</v>
      </c>
    </row>
    <row r="9" spans="1:15" ht="12.95" customHeight="1" x14ac:dyDescent="0.2">
      <c r="A9" s="22" t="s">
        <v>31</v>
      </c>
      <c r="B9" s="23">
        <v>21</v>
      </c>
      <c r="C9" s="20" t="s">
        <v>49</v>
      </c>
      <c r="D9" s="21" t="s">
        <v>50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-2.5728709178086603E-4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3.754095406321761E-6</v>
      </c>
      <c r="D12" s="3"/>
      <c r="E12" s="46" t="s">
        <v>52</v>
      </c>
      <c r="F12" s="51"/>
    </row>
    <row r="13" spans="1:15" ht="12.95" customHeight="1" x14ac:dyDescent="0.2">
      <c r="A13" s="10" t="s">
        <v>18</v>
      </c>
      <c r="B13" s="10"/>
      <c r="C13" s="3" t="s">
        <v>13</v>
      </c>
      <c r="E13" s="44" t="s">
        <v>33</v>
      </c>
      <c r="F13" s="50">
        <v>1</v>
      </c>
    </row>
    <row r="14" spans="1:15" ht="12.95" customHeight="1" x14ac:dyDescent="0.2">
      <c r="A14" s="10"/>
      <c r="B14" s="10"/>
      <c r="C14" s="10"/>
      <c r="E14" s="44" t="s">
        <v>30</v>
      </c>
      <c r="F14" s="47">
        <f ca="1">NOW()+15018.5+$C$5/24</f>
        <v>60525.768240509256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59680.490834947253</v>
      </c>
      <c r="E15" s="44" t="s">
        <v>34</v>
      </c>
      <c r="F15" s="47">
        <f ca="1">ROUND(2*($F$14-$C$7)/$C$8,0)/2+$F$13</f>
        <v>10483</v>
      </c>
    </row>
    <row r="16" spans="1:15" ht="12.95" customHeight="1" x14ac:dyDescent="0.2">
      <c r="A16" s="15" t="s">
        <v>4</v>
      </c>
      <c r="B16" s="10"/>
      <c r="C16" s="16">
        <f ca="1">+C8+C12</f>
        <v>0.82562075409540636</v>
      </c>
      <c r="E16" s="44" t="s">
        <v>35</v>
      </c>
      <c r="F16" s="47">
        <f ca="1">ROUND(2*($F$14-$C$15)/$C$16,0)/2+$F$13</f>
        <v>1025</v>
      </c>
    </row>
    <row r="17" spans="1:21" ht="12.95" customHeight="1" thickBot="1" x14ac:dyDescent="0.25">
      <c r="A17" s="14" t="s">
        <v>27</v>
      </c>
      <c r="B17" s="10"/>
      <c r="C17" s="10">
        <f>COUNT(C21:C2191)</f>
        <v>4</v>
      </c>
      <c r="E17" s="44" t="s">
        <v>53</v>
      </c>
      <c r="F17" s="48">
        <f ca="1">+$C$15+$C$16*$F$16-15018.5-$C$5/24</f>
        <v>45508.647941228381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59680.490834947253</v>
      </c>
      <c r="D18" s="18">
        <f ca="1">+C16</f>
        <v>0.82562075409540636</v>
      </c>
      <c r="E18" s="45" t="s">
        <v>54</v>
      </c>
      <c r="F18" s="49">
        <f ca="1">+($C$15+$C$16*$F$16)-($C$16/2)-15018.5-$C$5/24</f>
        <v>45508.235130851332</v>
      </c>
    </row>
    <row r="19" spans="1:21" ht="12.95" customHeight="1" thickTop="1" x14ac:dyDescent="0.2">
      <c r="F19" s="30" t="s">
        <v>41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s="52" t="s">
        <v>55</v>
      </c>
      <c r="C21" s="8">
        <v>51871.77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-2.5728709178086603E-4</v>
      </c>
      <c r="Q21" s="31">
        <f>+C21-15018.5</f>
        <v>36853.269999999997</v>
      </c>
    </row>
    <row r="22" spans="1:21" ht="12.95" customHeight="1" x14ac:dyDescent="0.2">
      <c r="A22" s="40" t="s">
        <v>45</v>
      </c>
      <c r="B22" s="41" t="s">
        <v>46</v>
      </c>
      <c r="C22" s="42">
        <v>59308.546999999788</v>
      </c>
      <c r="D22" s="40">
        <v>1.2E-2</v>
      </c>
      <c r="E22">
        <f t="shared" ref="E22:E24" si="0">+(C22-C$7)/C$8</f>
        <v>9007.5386044616207</v>
      </c>
      <c r="F22">
        <f t="shared" ref="F22:F24" si="1">ROUND(2*E22,0)/2</f>
        <v>9007.5</v>
      </c>
      <c r="G22">
        <f t="shared" ref="G22:G24" si="2">+C22-(C$7+F22*C$8)</f>
        <v>3.1872499792370945E-2</v>
      </c>
      <c r="I22">
        <f t="shared" ref="I22:I24" si="3">+G22</f>
        <v>3.1872499792370945E-2</v>
      </c>
      <c r="O22">
        <f t="shared" ref="O22:O24" ca="1" si="4">+C$11+C$12*$F22</f>
        <v>3.3557727280662392E-2</v>
      </c>
      <c r="Q22" s="31">
        <f t="shared" ref="Q22:Q24" si="5">+C22-15018.5</f>
        <v>44290.046999999788</v>
      </c>
      <c r="R22" t="s">
        <v>51</v>
      </c>
    </row>
    <row r="23" spans="1:21" ht="12.95" customHeight="1" x14ac:dyDescent="0.2">
      <c r="A23" s="40" t="s">
        <v>45</v>
      </c>
      <c r="B23" s="41" t="s">
        <v>47</v>
      </c>
      <c r="C23" s="42">
        <v>59310.609000000171</v>
      </c>
      <c r="D23" s="40">
        <v>8.9999999999999993E-3</v>
      </c>
      <c r="E23">
        <f t="shared" si="0"/>
        <v>9010.036130554694</v>
      </c>
      <c r="F23">
        <f t="shared" si="1"/>
        <v>9010</v>
      </c>
      <c r="G23">
        <f t="shared" si="2"/>
        <v>2.9830000174115412E-2</v>
      </c>
      <c r="I23">
        <f t="shared" si="3"/>
        <v>2.9830000174115412E-2</v>
      </c>
      <c r="O23">
        <f t="shared" ca="1" si="4"/>
        <v>3.3567112519178197E-2</v>
      </c>
      <c r="Q23" s="31">
        <f t="shared" si="5"/>
        <v>44292.109000000171</v>
      </c>
      <c r="R23" t="s">
        <v>51</v>
      </c>
    </row>
    <row r="24" spans="1:21" ht="12.95" customHeight="1" x14ac:dyDescent="0.2">
      <c r="A24" s="40" t="s">
        <v>48</v>
      </c>
      <c r="B24" s="41" t="s">
        <v>46</v>
      </c>
      <c r="C24" s="42">
        <v>59680.495999999999</v>
      </c>
      <c r="D24" s="40">
        <v>5.0000000000000001E-3</v>
      </c>
      <c r="E24">
        <f t="shared" si="0"/>
        <v>9458.0489500579588</v>
      </c>
      <c r="F24">
        <f t="shared" si="1"/>
        <v>9458</v>
      </c>
      <c r="G24">
        <f t="shared" si="2"/>
        <v>4.0414000002783723E-2</v>
      </c>
      <c r="I24">
        <f t="shared" si="3"/>
        <v>4.0414000002783723E-2</v>
      </c>
      <c r="O24">
        <f t="shared" ca="1" si="4"/>
        <v>3.5248947261210348E-2</v>
      </c>
      <c r="Q24" s="31">
        <f t="shared" si="5"/>
        <v>44661.995999999999</v>
      </c>
      <c r="R24" t="s">
        <v>51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2024-08-03T06:26:16Z</dcterms:modified>
</cp:coreProperties>
</file>