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73E387-E6D4-486E-A047-EA1D8E420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C25" i="1"/>
  <c r="E25" i="1"/>
  <c r="F25" i="1"/>
  <c r="G25" i="1"/>
  <c r="Q21" i="1"/>
  <c r="Q22" i="1"/>
  <c r="Q23" i="1"/>
  <c r="Q24" i="1"/>
  <c r="Q26" i="1"/>
  <c r="Q27" i="1"/>
  <c r="Q28" i="1"/>
  <c r="Q29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A25" i="1"/>
  <c r="C17" i="1"/>
  <c r="Q25" i="1"/>
  <c r="H25" i="1"/>
  <c r="C11" i="1"/>
  <c r="C12" i="1"/>
  <c r="F15" i="1" l="1"/>
  <c r="O24" i="1"/>
  <c r="O29" i="1"/>
  <c r="O27" i="1"/>
  <c r="O23" i="1"/>
  <c r="O22" i="1"/>
  <c r="O28" i="1"/>
  <c r="O25" i="1"/>
  <c r="O21" i="1"/>
  <c r="C15" i="1"/>
  <c r="O26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<sst xmlns="http://schemas.openxmlformats.org/spreadsheetml/2006/main" count="146" uniqueCount="91">
  <si>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</si>
  <si>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</si>
  <si>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</si>
  <si>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</si>
  <si>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</si>
  <si>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</si>
  <si>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</si>
  <si>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</si>
  <si>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</si>
  <si>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</si>
  <si>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</si>
  <si>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</si>
  <si>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</si>
  <si>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</si>
  <si>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</si>
  <si>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</si>
  <si>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</si>
  <si>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</si>
  <si>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</si>
  <si>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</si>
  <si>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</si>
  <si>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</si>
  <si>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</si>
  <si>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</si>
  <si>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</si>
  <si>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</si>
  <si>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</si>
  <si>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</si>
  <si>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</si>
  <si>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</si>
  <si>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</si>
  <si>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</si>
  <si>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</si>
  <si>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</si>
  <si>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</si>
  <si>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</si>
  <si>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</si>
  <si>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</si>
  <si>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</si>
  <si>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</si>
  <si>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</si>
  <si>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</si>
  <si>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</si>
  <si>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</si>
  <si>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</si>
  <si>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</si>
  <si>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</si>
  <si>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</si>
  <si>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RS Crt</t>
  </si>
  <si>
    <t>EA</t>
  </si>
  <si>
    <t>RS Crt / GSC 31211.39</t>
  </si>
  <si>
    <t>2426090.336 </t>
  </si>
  <si>
    <t> 23.04.1930 20:03 </t>
  </si>
  <si>
    <t> -0.126 </t>
  </si>
  <si>
    <t>P </t>
  </si>
  <si>
    <t> H.-U.Sandig </t>
  </si>
  <si>
    <t> AN 276.175 </t>
  </si>
  <si>
    <t>2427842.25 </t>
  </si>
  <si>
    <t> 08.02.1935 18:00 </t>
  </si>
  <si>
    <t> 0.16 </t>
  </si>
  <si>
    <t>V </t>
  </si>
  <si>
    <t> G.A.Lange </t>
  </si>
  <si>
    <t> CTAD 6 </t>
  </si>
  <si>
    <t>2427890.23 </t>
  </si>
  <si>
    <t> 28.03.1935 17:31 </t>
  </si>
  <si>
    <t> -0.05 </t>
  </si>
  <si>
    <t>2431211.35 </t>
  </si>
  <si>
    <t> 30.04.1944 20:24 </t>
  </si>
  <si>
    <t> -0.04 </t>
  </si>
  <si>
    <t> W.Zessewitsch </t>
  </si>
  <si>
    <t> IODE 4.1.242 </t>
  </si>
  <si>
    <t>2431212.27 </t>
  </si>
  <si>
    <t> 01.05.1944 18:28 </t>
  </si>
  <si>
    <t> 0.06 </t>
  </si>
  <si>
    <t>2431252.20 </t>
  </si>
  <si>
    <t> 10.06.1944 16:48 </t>
  </si>
  <si>
    <t> -0.03 </t>
  </si>
  <si>
    <t>2431256.25 </t>
  </si>
  <si>
    <t> 14.06.1944 18:00 </t>
  </si>
  <si>
    <t> -0.06 </t>
  </si>
  <si>
    <t>2431266.19 </t>
  </si>
  <si>
    <t> 24.06.1944 16:33 </t>
  </si>
  <si>
    <t> 0.07 </t>
  </si>
  <si>
    <t>II</t>
  </si>
  <si>
    <t>I</t>
  </si>
  <si>
    <t>GCVS 4</t>
  </si>
  <si>
    <t xml:space="preserve">Mag </t>
  </si>
  <si>
    <t>Next ToM-P</t>
  </si>
  <si>
    <t>Next ToM-S</t>
  </si>
  <si>
    <t>CST</t>
  </si>
  <si>
    <t>Not eclipsing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</si>
</sst>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horizontal="center" vertical="center"/>
    </xf>
    <xf numFmtId="22" fontId="23" fillId="0" borderId="16" xfId="0" applyNumberFormat="1" applyFont="1" applyBorder="1" applyAlignment="1">
      <alignment horizontal="right" vertical="center"/>
    </xf>
    <xf numFmtId="0" fontId="16" fillId="0" borderId="0" xfId="0" applyFont="1" applyAlignment="1"/>
    <xf numFmtId="0" fontId="25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Crt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-0.12640000000101281</c:v>
                </c:pt>
                <c:pt idx="1">
                  <c:v>0.15999999999985448</c:v>
                </c:pt>
                <c:pt idx="2">
                  <c:v>-5.1199999998061685E-2</c:v>
                </c:pt>
                <c:pt idx="3">
                  <c:v>-4.0000000000873115E-2</c:v>
                </c:pt>
                <c:pt idx="4">
                  <c:v>0</c:v>
                </c:pt>
                <c:pt idx="5">
                  <c:v>6.3200000000506407E-2</c:v>
                </c:pt>
                <c:pt idx="6">
                  <c:v>-2.9999999998835847E-2</c:v>
                </c:pt>
                <c:pt idx="7">
                  <c:v>-6.3999999998486601E-2</c:v>
                </c:pt>
                <c:pt idx="8">
                  <c:v>7.4399999997694977E-2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1F-472D-89F8-2955818B95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1F-472D-89F8-2955818B95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1F-472D-89F8-2955818B95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1F-472D-89F8-2955818B95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1F-472D-89F8-2955818B95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1F-472D-89F8-2955818B95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1F-472D-89F8-2955818B95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-3.1266061457668679E-2</c:v>
                </c:pt>
                <c:pt idx="1">
                  <c:v>-1.7657735975552313E-2</c:v>
                </c:pt>
                <c:pt idx="2">
                  <c:v>-1.7283340450513905E-2</c:v>
                </c:pt>
                <c:pt idx="3">
                  <c:v>8.5182223428109504E-3</c:v>
                </c:pt>
                <c:pt idx="4">
                  <c:v>8.5182223428109504E-3</c:v>
                </c:pt>
                <c:pt idx="5">
                  <c:v>8.5245680296760079E-3</c:v>
                </c:pt>
                <c:pt idx="6">
                  <c:v>8.8355066860638376E-3</c:v>
                </c:pt>
                <c:pt idx="7">
                  <c:v>8.8672351203891268E-3</c:v>
                </c:pt>
                <c:pt idx="8">
                  <c:v>8.9433833627698203E-3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1F-472D-89F8-2955818B95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-6269.5</c:v>
                </c:pt>
                <c:pt idx="1">
                  <c:v>-4125</c:v>
                </c:pt>
                <c:pt idx="2">
                  <c:v>-4066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55</c:v>
                </c:pt>
                <c:pt idx="8">
                  <c:v>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1F-472D-89F8-2955818B9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366984"/>
        <c:axId val="1"/>
      </c:scatterChart>
      <c:valAx>
        <c:axId val="610366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66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F4362F-2CA6-7671-7BEE-6D379A469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45" t="s">
        <v>48</v>
      </c>
      <c r="G1" s="30">
        <v>11.490310000000001</v>
      </c>
      <c r="H1" s="31">
        <v>-10.371499999999999</v>
      </c>
      <c r="I1" s="32">
        <v>31211.39</v>
      </c>
      <c r="J1" s="32">
        <v>0.81679999999999997</v>
      </c>
      <c r="K1" s="29" t="s">
        <v>49</v>
      </c>
      <c r="L1" s="31"/>
      <c r="M1" s="32">
        <v>31211.39</v>
      </c>
      <c r="N1" s="32">
        <v>0.81679999999999997</v>
      </c>
      <c r="O1" s="31" t="s">
        <v>49</v>
      </c>
    </row>
    <row r="2" spans="1:15" x14ac:dyDescent="0.2">
      <c r="A2" t="s">
        <v>23</v>
      </c>
      <c r="B2" s="58" t="s">
        <v>89</v>
      </c>
      <c r="C2" s="59" t="s">
        <v>90</v>
      </c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36</v>
      </c>
      <c r="D4" s="27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9">
        <v>31211.39</v>
      </c>
      <c r="D7" s="28" t="s">
        <v>85</v>
      </c>
    </row>
    <row r="8" spans="1:15" x14ac:dyDescent="0.2">
      <c r="A8" t="s">
        <v>3</v>
      </c>
      <c r="C8" s="49">
        <v>0.81679999999999997</v>
      </c>
      <c r="D8" s="28" t="s">
        <v>85</v>
      </c>
    </row>
    <row r="9" spans="1:15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0">
        <f ca="1">INTERCEPT(INDIRECT($E$9):G992,INDIRECT($D$9):F992)</f>
        <v>8.5182223428109504E-3</v>
      </c>
      <c r="D11" s="3"/>
      <c r="E11" s="10"/>
    </row>
    <row r="12" spans="1:15" x14ac:dyDescent="0.2">
      <c r="A12" s="10" t="s">
        <v>16</v>
      </c>
      <c r="B12" s="10"/>
      <c r="C12" s="20">
        <f ca="1">SLOPE(INDIRECT($E$9):G992,INDIRECT($D$9):F992)</f>
        <v>6.3456868650577602E-6</v>
      </c>
      <c r="D12" s="3"/>
      <c r="E12" s="55" t="s">
        <v>86</v>
      </c>
      <c r="F12" s="56">
        <v>10.62</v>
      </c>
    </row>
    <row r="13" spans="1:15" x14ac:dyDescent="0.2">
      <c r="A13" s="10" t="s">
        <v>18</v>
      </c>
      <c r="B13" s="10"/>
      <c r="C13" s="3" t="s">
        <v>13</v>
      </c>
      <c r="E13" s="50" t="s">
        <v>33</v>
      </c>
      <c r="F13" s="54">
        <v>1</v>
      </c>
    </row>
    <row r="14" spans="1:15" x14ac:dyDescent="0.2">
      <c r="A14" s="10"/>
      <c r="B14" s="10"/>
      <c r="C14" s="10"/>
      <c r="E14" s="50" t="s">
        <v>30</v>
      </c>
      <c r="F14" s="52">
        <f ca="1">NOW()+15018.5+$C$5/24</f>
        <v>60525.772741898145</v>
      </c>
    </row>
    <row r="15" spans="1:15" x14ac:dyDescent="0.2">
      <c r="A15" s="12" t="s">
        <v>17</v>
      </c>
      <c r="B15" s="10"/>
      <c r="C15" s="13">
        <f ca="1">(C7+C11)+(C8+C12)*INT(MAX(F21:F3533))</f>
        <v>31266.124543383361</v>
      </c>
      <c r="E15" s="50" t="s">
        <v>34</v>
      </c>
      <c r="F15" s="52">
        <f ca="1">ROUND(2*($F$14-$C$7)/$C$8,0)/2+$F$13</f>
        <v>35890.5</v>
      </c>
    </row>
    <row r="16" spans="1:15" x14ac:dyDescent="0.2">
      <c r="A16" s="15" t="s">
        <v>4</v>
      </c>
      <c r="B16" s="10"/>
      <c r="C16" s="16">
        <f ca="1">+C8+C12</f>
        <v>0.81680634568686505</v>
      </c>
      <c r="E16" s="50" t="s">
        <v>35</v>
      </c>
      <c r="F16" s="52">
        <f ca="1">ROUND(2*($F$14-$C$15)/$C$16,0)/2+$F$13</f>
        <v>35823</v>
      </c>
    </row>
    <row r="17" spans="1:18" ht="13.5" thickBot="1" x14ac:dyDescent="0.25">
      <c r="A17" s="14" t="s">
        <v>27</v>
      </c>
      <c r="B17" s="10"/>
      <c r="C17" s="10">
        <f>COUNT(C21:C2191)</f>
        <v>9</v>
      </c>
      <c r="E17" s="50" t="s">
        <v>87</v>
      </c>
      <c r="F17" s="57">
        <f ca="1">+$C$15+$C$16*$F$16-15018.5-$C$5/24</f>
        <v>45508.474098257262</v>
      </c>
    </row>
    <row r="18" spans="1:18" ht="14.25" thickTop="1" thickBot="1" x14ac:dyDescent="0.25">
      <c r="A18" s="15" t="s">
        <v>5</v>
      </c>
      <c r="B18" s="10"/>
      <c r="C18" s="18">
        <f ca="1">+C15</f>
        <v>31266.124543383361</v>
      </c>
      <c r="D18" s="19">
        <f ca="1">+C16</f>
        <v>0.81680634568686505</v>
      </c>
      <c r="E18" s="51" t="s">
        <v>88</v>
      </c>
      <c r="F18" s="53">
        <f ca="1">+($C$15+$C$16*$F$16)-($C$16/2)-15018.5-$C$5/24</f>
        <v>45508.06569508442</v>
      </c>
    </row>
    <row r="19" spans="1:18" ht="13.5" thickTop="1" x14ac:dyDescent="0.2">
      <c r="E19" s="14"/>
      <c r="F19" s="17"/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 x14ac:dyDescent="0.2">
      <c r="A21" s="46" t="s">
        <v>56</v>
      </c>
      <c r="B21" s="48" t="s">
        <v>83</v>
      </c>
      <c r="C21" s="47">
        <v>26090.335999999999</v>
      </c>
      <c r="D21" s="47" t="s">
        <v>38</v>
      </c>
      <c r="E21">
        <f t="shared" ref="E21:E29" si="0">+(C21-C$7)/C$8</f>
        <v>-6269.6547502448584</v>
      </c>
      <c r="F21">
        <f t="shared" ref="F21:F29" si="1">ROUND(2*E21,0)/2</f>
        <v>-6269.5</v>
      </c>
      <c r="G21">
        <f t="shared" ref="G21:G29" si="2">+C21-(C$7+F21*C$8)</f>
        <v>-0.12640000000101281</v>
      </c>
      <c r="H21">
        <f t="shared" ref="H21:H29" si="3">+G21</f>
        <v>-0.12640000000101281</v>
      </c>
      <c r="O21">
        <f t="shared" ref="O21:O29" ca="1" si="4">+C$11+C$12*$F21</f>
        <v>-3.1266061457668679E-2</v>
      </c>
      <c r="Q21" s="2">
        <f t="shared" ref="Q21:Q29" si="5">+C21-15018.5</f>
        <v>11071.835999999999</v>
      </c>
    </row>
    <row r="22" spans="1:18" x14ac:dyDescent="0.2">
      <c r="A22" s="46" t="s">
        <v>62</v>
      </c>
      <c r="B22" s="48" t="s">
        <v>84</v>
      </c>
      <c r="C22" s="47">
        <v>27842.25</v>
      </c>
      <c r="D22" s="47" t="s">
        <v>38</v>
      </c>
      <c r="E22">
        <f t="shared" si="0"/>
        <v>-4124.8041136141037</v>
      </c>
      <c r="F22">
        <f t="shared" si="1"/>
        <v>-4125</v>
      </c>
      <c r="G22">
        <f t="shared" si="2"/>
        <v>0.15999999999985448</v>
      </c>
      <c r="H22">
        <f t="shared" si="3"/>
        <v>0.15999999999985448</v>
      </c>
      <c r="O22">
        <f t="shared" ca="1" si="4"/>
        <v>-1.7657735975552313E-2</v>
      </c>
      <c r="Q22" s="2">
        <f t="shared" si="5"/>
        <v>12823.75</v>
      </c>
    </row>
    <row r="23" spans="1:18" x14ac:dyDescent="0.2">
      <c r="A23" s="46" t="s">
        <v>62</v>
      </c>
      <c r="B23" s="48" t="s">
        <v>84</v>
      </c>
      <c r="C23" s="47">
        <v>27890.23</v>
      </c>
      <c r="D23" s="47" t="s">
        <v>38</v>
      </c>
      <c r="E23">
        <f t="shared" si="0"/>
        <v>-4066.0626836434867</v>
      </c>
      <c r="F23">
        <f t="shared" si="1"/>
        <v>-4066</v>
      </c>
      <c r="G23">
        <f t="shared" si="2"/>
        <v>-5.1199999998061685E-2</v>
      </c>
      <c r="H23">
        <f t="shared" si="3"/>
        <v>-5.1199999998061685E-2</v>
      </c>
      <c r="O23">
        <f t="shared" ca="1" si="4"/>
        <v>-1.7283340450513905E-2</v>
      </c>
      <c r="Q23" s="2">
        <f t="shared" si="5"/>
        <v>12871.73</v>
      </c>
    </row>
    <row r="24" spans="1:18" x14ac:dyDescent="0.2">
      <c r="A24" s="46" t="s">
        <v>70</v>
      </c>
      <c r="B24" s="48" t="s">
        <v>84</v>
      </c>
      <c r="C24" s="47">
        <v>31211.35</v>
      </c>
      <c r="D24" s="47" t="s">
        <v>38</v>
      </c>
      <c r="E24">
        <f t="shared" si="0"/>
        <v>-4.8971596475114003E-2</v>
      </c>
      <c r="F24">
        <f t="shared" si="1"/>
        <v>0</v>
      </c>
      <c r="G24">
        <f t="shared" si="2"/>
        <v>-4.0000000000873115E-2</v>
      </c>
      <c r="H24">
        <f t="shared" si="3"/>
        <v>-4.0000000000873115E-2</v>
      </c>
      <c r="O24">
        <f t="shared" ca="1" si="4"/>
        <v>8.5182223428109504E-3</v>
      </c>
      <c r="Q24" s="2">
        <f t="shared" si="5"/>
        <v>16192.849999999999</v>
      </c>
    </row>
    <row r="25" spans="1:18" x14ac:dyDescent="0.2">
      <c r="A25">
        <f>D11</f>
        <v>0</v>
      </c>
      <c r="C25" s="8">
        <f>C$7</f>
        <v>31211.39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si="3"/>
        <v>0</v>
      </c>
      <c r="O25">
        <f t="shared" ca="1" si="4"/>
        <v>8.5182223428109504E-3</v>
      </c>
      <c r="Q25" s="2">
        <f t="shared" si="5"/>
        <v>16192.89</v>
      </c>
    </row>
    <row r="26" spans="1:18" x14ac:dyDescent="0.2">
      <c r="A26" s="46" t="s">
        <v>70</v>
      </c>
      <c r="B26" s="48" t="s">
        <v>84</v>
      </c>
      <c r="C26" s="47">
        <v>31212.27</v>
      </c>
      <c r="D26" s="47" t="s">
        <v>38</v>
      </c>
      <c r="E26">
        <f t="shared" si="0"/>
        <v>1.0773751224302384</v>
      </c>
      <c r="F26">
        <f t="shared" si="1"/>
        <v>1</v>
      </c>
      <c r="G26">
        <f t="shared" si="2"/>
        <v>6.3200000000506407E-2</v>
      </c>
      <c r="H26">
        <f t="shared" si="3"/>
        <v>6.3200000000506407E-2</v>
      </c>
      <c r="O26">
        <f t="shared" ca="1" si="4"/>
        <v>8.5245680296760079E-3</v>
      </c>
      <c r="Q26" s="2">
        <f t="shared" si="5"/>
        <v>16193.77</v>
      </c>
    </row>
    <row r="27" spans="1:18" x14ac:dyDescent="0.2">
      <c r="A27" s="46" t="s">
        <v>70</v>
      </c>
      <c r="B27" s="48" t="s">
        <v>84</v>
      </c>
      <c r="C27" s="47">
        <v>31252.2</v>
      </c>
      <c r="D27" s="47" t="s">
        <v>38</v>
      </c>
      <c r="E27">
        <f t="shared" si="0"/>
        <v>49.963271302646071</v>
      </c>
      <c r="F27">
        <f t="shared" si="1"/>
        <v>50</v>
      </c>
      <c r="G27">
        <f t="shared" si="2"/>
        <v>-2.9999999998835847E-2</v>
      </c>
      <c r="H27">
        <f t="shared" si="3"/>
        <v>-2.9999999998835847E-2</v>
      </c>
      <c r="O27">
        <f t="shared" ca="1" si="4"/>
        <v>8.8355066860638376E-3</v>
      </c>
      <c r="Q27" s="2">
        <f t="shared" si="5"/>
        <v>16233.7</v>
      </c>
    </row>
    <row r="28" spans="1:18" x14ac:dyDescent="0.2">
      <c r="A28" s="46" t="s">
        <v>70</v>
      </c>
      <c r="B28" s="48" t="s">
        <v>84</v>
      </c>
      <c r="C28" s="47">
        <v>31256.25</v>
      </c>
      <c r="D28" s="47" t="s">
        <v>38</v>
      </c>
      <c r="E28">
        <f t="shared" si="0"/>
        <v>54.921645445642241</v>
      </c>
      <c r="F28">
        <f t="shared" si="1"/>
        <v>55</v>
      </c>
      <c r="G28">
        <f t="shared" si="2"/>
        <v>-6.3999999998486601E-2</v>
      </c>
      <c r="H28">
        <f t="shared" si="3"/>
        <v>-6.3999999998486601E-2</v>
      </c>
      <c r="O28">
        <f t="shared" ca="1" si="4"/>
        <v>8.8672351203891268E-3</v>
      </c>
      <c r="Q28" s="2">
        <f t="shared" si="5"/>
        <v>16237.75</v>
      </c>
    </row>
    <row r="29" spans="1:18" x14ac:dyDescent="0.2">
      <c r="A29" s="46" t="s">
        <v>70</v>
      </c>
      <c r="B29" s="48" t="s">
        <v>84</v>
      </c>
      <c r="C29" s="47">
        <v>31266.19</v>
      </c>
      <c r="D29" s="47" t="s">
        <v>38</v>
      </c>
      <c r="E29">
        <f t="shared" si="0"/>
        <v>67.09108716944084</v>
      </c>
      <c r="F29">
        <f t="shared" si="1"/>
        <v>67</v>
      </c>
      <c r="G29">
        <f t="shared" si="2"/>
        <v>7.4399999997694977E-2</v>
      </c>
      <c r="H29">
        <f t="shared" si="3"/>
        <v>7.4399999997694977E-2</v>
      </c>
      <c r="O29">
        <f t="shared" ca="1" si="4"/>
        <v>8.9433833627698203E-3</v>
      </c>
      <c r="Q29" s="2">
        <f t="shared" si="5"/>
        <v>16247.689999999999</v>
      </c>
    </row>
    <row r="30" spans="1:18" x14ac:dyDescent="0.2">
      <c r="B30" s="3"/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workbookViewId="0">
      <selection activeCell="A11" sqref="A11:D1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41</v>
      </c>
      <c r="I1" s="34" t="s">
        <v>42</v>
      </c>
      <c r="J1" s="35" t="s">
        <v>40</v>
      </c>
    </row>
    <row r="2" spans="1:16" x14ac:dyDescent="0.2">
      <c r="I2" s="36" t="s">
        <v>43</v>
      </c>
      <c r="J2" s="37" t="s">
        <v>39</v>
      </c>
    </row>
    <row r="3" spans="1:16" x14ac:dyDescent="0.2">
      <c r="A3" s="38" t="s">
        <v>44</v>
      </c>
      <c r="I3" s="36" t="s">
        <v>45</v>
      </c>
      <c r="J3" s="37" t="s">
        <v>37</v>
      </c>
    </row>
    <row r="4" spans="1:16" x14ac:dyDescent="0.2">
      <c r="I4" s="36" t="s">
        <v>46</v>
      </c>
      <c r="J4" s="37" t="s">
        <v>37</v>
      </c>
    </row>
    <row r="5" spans="1:16" ht="13.5" thickBot="1" x14ac:dyDescent="0.25">
      <c r="I5" s="39" t="s">
        <v>47</v>
      </c>
      <c r="J5" s="40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8" si="0">P11</f>
        <v> AN 276.175 </v>
      </c>
      <c r="B11" s="3" t="str">
        <f t="shared" ref="B11:B18" si="1">IF(H11=INT(H11),"I","II")</f>
        <v>II</v>
      </c>
      <c r="C11" s="8">
        <f t="shared" ref="C11:C18" si="2">1*G11</f>
        <v>26090.335999999999</v>
      </c>
      <c r="D11" s="10" t="str">
        <f t="shared" ref="D11:D18" si="3">VLOOKUP(F11,I$1:J$5,2,FALSE)</f>
        <v>vis</v>
      </c>
      <c r="E11" s="41">
        <f>VLOOKUP(C11,Active!C$21:E$973,3,FALSE)</f>
        <v>-6269.6547502448584</v>
      </c>
      <c r="F11" s="3" t="s">
        <v>47</v>
      </c>
      <c r="G11" s="10" t="str">
        <f t="shared" ref="G11:G18" si="4">MID(I11,3,LEN(I11)-3)</f>
        <v>26090.336</v>
      </c>
      <c r="H11" s="8">
        <f t="shared" ref="H11:H18" si="5">1*K11</f>
        <v>-6269.5</v>
      </c>
      <c r="I11" s="42" t="s">
        <v>51</v>
      </c>
      <c r="J11" s="43" t="s">
        <v>52</v>
      </c>
      <c r="K11" s="42">
        <v>-6269.5</v>
      </c>
      <c r="L11" s="42" t="s">
        <v>53</v>
      </c>
      <c r="M11" s="43" t="s">
        <v>54</v>
      </c>
      <c r="N11" s="43"/>
      <c r="O11" s="44" t="s">
        <v>55</v>
      </c>
      <c r="P11" s="44" t="s">
        <v>56</v>
      </c>
    </row>
    <row r="12" spans="1:16" ht="12.75" customHeight="1" thickBot="1" x14ac:dyDescent="0.25">
      <c r="A12" s="8" t="str">
        <f t="shared" si="0"/>
        <v> CTAD 6 </v>
      </c>
      <c r="B12" s="3" t="str">
        <f t="shared" si="1"/>
        <v>I</v>
      </c>
      <c r="C12" s="8">
        <f t="shared" si="2"/>
        <v>27842.25</v>
      </c>
      <c r="D12" s="10" t="str">
        <f t="shared" si="3"/>
        <v>vis</v>
      </c>
      <c r="E12" s="41">
        <f>VLOOKUP(C12,Active!C$21:E$973,3,FALSE)</f>
        <v>-4124.8041136141037</v>
      </c>
      <c r="F12" s="3" t="s">
        <v>47</v>
      </c>
      <c r="G12" s="10" t="str">
        <f t="shared" si="4"/>
        <v>27842.25</v>
      </c>
      <c r="H12" s="8">
        <f t="shared" si="5"/>
        <v>-4125</v>
      </c>
      <c r="I12" s="42" t="s">
        <v>57</v>
      </c>
      <c r="J12" s="43" t="s">
        <v>58</v>
      </c>
      <c r="K12" s="42">
        <v>-4125</v>
      </c>
      <c r="L12" s="42" t="s">
        <v>59</v>
      </c>
      <c r="M12" s="43" t="s">
        <v>60</v>
      </c>
      <c r="N12" s="43"/>
      <c r="O12" s="44" t="s">
        <v>61</v>
      </c>
      <c r="P12" s="44" t="s">
        <v>62</v>
      </c>
    </row>
    <row r="13" spans="1:16" ht="12.75" customHeight="1" thickBot="1" x14ac:dyDescent="0.25">
      <c r="A13" s="8" t="str">
        <f t="shared" si="0"/>
        <v> CTAD 6 </v>
      </c>
      <c r="B13" s="3" t="str">
        <f t="shared" si="1"/>
        <v>I</v>
      </c>
      <c r="C13" s="8">
        <f t="shared" si="2"/>
        <v>27890.23</v>
      </c>
      <c r="D13" s="10" t="str">
        <f t="shared" si="3"/>
        <v>vis</v>
      </c>
      <c r="E13" s="41">
        <f>VLOOKUP(C13,Active!C$21:E$973,3,FALSE)</f>
        <v>-4066.0626836434867</v>
      </c>
      <c r="F13" s="3" t="s">
        <v>47</v>
      </c>
      <c r="G13" s="10" t="str">
        <f t="shared" si="4"/>
        <v>27890.23</v>
      </c>
      <c r="H13" s="8">
        <f t="shared" si="5"/>
        <v>-4066</v>
      </c>
      <c r="I13" s="42" t="s">
        <v>63</v>
      </c>
      <c r="J13" s="43" t="s">
        <v>64</v>
      </c>
      <c r="K13" s="42">
        <v>-4066</v>
      </c>
      <c r="L13" s="42" t="s">
        <v>65</v>
      </c>
      <c r="M13" s="43" t="s">
        <v>60</v>
      </c>
      <c r="N13" s="43"/>
      <c r="O13" s="44" t="s">
        <v>61</v>
      </c>
      <c r="P13" s="44" t="s">
        <v>62</v>
      </c>
    </row>
    <row r="14" spans="1:16" ht="12.75" customHeight="1" thickBot="1" x14ac:dyDescent="0.25">
      <c r="A14" s="8" t="str">
        <f t="shared" si="0"/>
        <v> IODE 4.1.242 </v>
      </c>
      <c r="B14" s="3" t="str">
        <f t="shared" si="1"/>
        <v>I</v>
      </c>
      <c r="C14" s="8">
        <f t="shared" si="2"/>
        <v>31211.35</v>
      </c>
      <c r="D14" s="10" t="str">
        <f t="shared" si="3"/>
        <v>vis</v>
      </c>
      <c r="E14" s="41">
        <f>VLOOKUP(C14,Active!C$21:E$973,3,FALSE)</f>
        <v>-4.8971596475114003E-2</v>
      </c>
      <c r="F14" s="3" t="s">
        <v>47</v>
      </c>
      <c r="G14" s="10" t="str">
        <f t="shared" si="4"/>
        <v>31211.35</v>
      </c>
      <c r="H14" s="8">
        <f t="shared" si="5"/>
        <v>0</v>
      </c>
      <c r="I14" s="42" t="s">
        <v>66</v>
      </c>
      <c r="J14" s="43" t="s">
        <v>67</v>
      </c>
      <c r="K14" s="42">
        <v>0</v>
      </c>
      <c r="L14" s="42" t="s">
        <v>68</v>
      </c>
      <c r="M14" s="43" t="s">
        <v>60</v>
      </c>
      <c r="N14" s="43"/>
      <c r="O14" s="44" t="s">
        <v>69</v>
      </c>
      <c r="P14" s="44" t="s">
        <v>70</v>
      </c>
    </row>
    <row r="15" spans="1:16" ht="12.75" customHeight="1" thickBot="1" x14ac:dyDescent="0.25">
      <c r="A15" s="8" t="str">
        <f t="shared" si="0"/>
        <v> IODE 4.1.242 </v>
      </c>
      <c r="B15" s="3" t="str">
        <f t="shared" si="1"/>
        <v>I</v>
      </c>
      <c r="C15" s="8">
        <f t="shared" si="2"/>
        <v>31212.27</v>
      </c>
      <c r="D15" s="10" t="str">
        <f t="shared" si="3"/>
        <v>vis</v>
      </c>
      <c r="E15" s="41">
        <f>VLOOKUP(C15,Active!C$21:E$973,3,FALSE)</f>
        <v>1.0773751224302384</v>
      </c>
      <c r="F15" s="3" t="s">
        <v>47</v>
      </c>
      <c r="G15" s="10" t="str">
        <f t="shared" si="4"/>
        <v>31212.27</v>
      </c>
      <c r="H15" s="8">
        <f t="shared" si="5"/>
        <v>1</v>
      </c>
      <c r="I15" s="42" t="s">
        <v>71</v>
      </c>
      <c r="J15" s="43" t="s">
        <v>72</v>
      </c>
      <c r="K15" s="42">
        <v>1</v>
      </c>
      <c r="L15" s="42" t="s">
        <v>73</v>
      </c>
      <c r="M15" s="43" t="s">
        <v>60</v>
      </c>
      <c r="N15" s="43"/>
      <c r="O15" s="44" t="s">
        <v>69</v>
      </c>
      <c r="P15" s="44" t="s">
        <v>70</v>
      </c>
    </row>
    <row r="16" spans="1:16" ht="12.75" customHeight="1" thickBot="1" x14ac:dyDescent="0.25">
      <c r="A16" s="8" t="str">
        <f t="shared" si="0"/>
        <v> IODE 4.1.242 </v>
      </c>
      <c r="B16" s="3" t="str">
        <f t="shared" si="1"/>
        <v>I</v>
      </c>
      <c r="C16" s="8">
        <f t="shared" si="2"/>
        <v>31252.2</v>
      </c>
      <c r="D16" s="10" t="str">
        <f t="shared" si="3"/>
        <v>vis</v>
      </c>
      <c r="E16" s="41">
        <f>VLOOKUP(C16,Active!C$21:E$973,3,FALSE)</f>
        <v>49.963271302646071</v>
      </c>
      <c r="F16" s="3" t="s">
        <v>47</v>
      </c>
      <c r="G16" s="10" t="str">
        <f t="shared" si="4"/>
        <v>31252.20</v>
      </c>
      <c r="H16" s="8">
        <f t="shared" si="5"/>
        <v>50</v>
      </c>
      <c r="I16" s="42" t="s">
        <v>74</v>
      </c>
      <c r="J16" s="43" t="s">
        <v>75</v>
      </c>
      <c r="K16" s="42">
        <v>50</v>
      </c>
      <c r="L16" s="42" t="s">
        <v>76</v>
      </c>
      <c r="M16" s="43" t="s">
        <v>60</v>
      </c>
      <c r="N16" s="43"/>
      <c r="O16" s="44" t="s">
        <v>69</v>
      </c>
      <c r="P16" s="44" t="s">
        <v>70</v>
      </c>
    </row>
    <row r="17" spans="1:16" ht="12.75" customHeight="1" thickBot="1" x14ac:dyDescent="0.25">
      <c r="A17" s="8" t="str">
        <f t="shared" si="0"/>
        <v> IODE 4.1.242 </v>
      </c>
      <c r="B17" s="3" t="str">
        <f t="shared" si="1"/>
        <v>I</v>
      </c>
      <c r="C17" s="8">
        <f t="shared" si="2"/>
        <v>31256.25</v>
      </c>
      <c r="D17" s="10" t="str">
        <f t="shared" si="3"/>
        <v>vis</v>
      </c>
      <c r="E17" s="41">
        <f>VLOOKUP(C17,Active!C$21:E$973,3,FALSE)</f>
        <v>54.921645445642241</v>
      </c>
      <c r="F17" s="3" t="s">
        <v>47</v>
      </c>
      <c r="G17" s="10" t="str">
        <f t="shared" si="4"/>
        <v>31256.25</v>
      </c>
      <c r="H17" s="8">
        <f t="shared" si="5"/>
        <v>55</v>
      </c>
      <c r="I17" s="42" t="s">
        <v>77</v>
      </c>
      <c r="J17" s="43" t="s">
        <v>78</v>
      </c>
      <c r="K17" s="42">
        <v>55</v>
      </c>
      <c r="L17" s="42" t="s">
        <v>79</v>
      </c>
      <c r="M17" s="43" t="s">
        <v>60</v>
      </c>
      <c r="N17" s="43"/>
      <c r="O17" s="44" t="s">
        <v>69</v>
      </c>
      <c r="P17" s="44" t="s">
        <v>70</v>
      </c>
    </row>
    <row r="18" spans="1:16" ht="12.75" customHeight="1" thickBot="1" x14ac:dyDescent="0.25">
      <c r="A18" s="8" t="str">
        <f t="shared" si="0"/>
        <v> IODE 4.1.242 </v>
      </c>
      <c r="B18" s="3" t="str">
        <f t="shared" si="1"/>
        <v>I</v>
      </c>
      <c r="C18" s="8">
        <f t="shared" si="2"/>
        <v>31266.19</v>
      </c>
      <c r="D18" s="10" t="str">
        <f t="shared" si="3"/>
        <v>vis</v>
      </c>
      <c r="E18" s="41">
        <f>VLOOKUP(C18,Active!C$21:E$973,3,FALSE)</f>
        <v>67.09108716944084</v>
      </c>
      <c r="F18" s="3" t="s">
        <v>47</v>
      </c>
      <c r="G18" s="10" t="str">
        <f t="shared" si="4"/>
        <v>31266.19</v>
      </c>
      <c r="H18" s="8">
        <f t="shared" si="5"/>
        <v>67</v>
      </c>
      <c r="I18" s="42" t="s">
        <v>80</v>
      </c>
      <c r="J18" s="43" t="s">
        <v>81</v>
      </c>
      <c r="K18" s="42">
        <v>67</v>
      </c>
      <c r="L18" s="42" t="s">
        <v>82</v>
      </c>
      <c r="M18" s="43" t="s">
        <v>60</v>
      </c>
      <c r="N18" s="43"/>
      <c r="O18" s="44" t="s">
        <v>69</v>
      </c>
      <c r="P18" s="44" t="s">
        <v>70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2024-08-03T06:32:44Z</dcterms:modified>
</cp:coreProperties>
</file>