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848A41C-3A93-4EEC-859F-22316E2F7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A21" i="1"/>
  <c r="F14" i="1"/>
  <c r="F15" i="1" s="1"/>
  <c r="F11" i="1"/>
  <c r="Q23" i="1"/>
  <c r="Q24" i="1"/>
  <c r="E23" i="1"/>
  <c r="F23" i="1"/>
  <c r="G23" i="1" s="1"/>
  <c r="I23" i="1" s="1"/>
  <c r="E22" i="1"/>
  <c r="F22" i="1" s="1"/>
  <c r="G22" i="1" s="1"/>
  <c r="H22" i="1" s="1"/>
  <c r="G11" i="1"/>
  <c r="Q22" i="1"/>
  <c r="C17" i="1"/>
  <c r="E24" i="1"/>
  <c r="F24" i="1" s="1"/>
  <c r="G24" i="1" s="1"/>
  <c r="I24" i="1" s="1"/>
  <c r="C12" i="1"/>
  <c r="C16" i="1" l="1"/>
  <c r="D18" i="1" s="1"/>
  <c r="C11" i="1"/>
  <c r="O21" i="1" l="1"/>
  <c r="C15" i="1"/>
  <c r="O24" i="1"/>
  <c r="O23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<sst xmlns="http://schemas.openxmlformats.org/spreadsheetml/2006/main" count="54" uniqueCount="50">
  <si>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</si>
  <si>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</si>
  <si>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</si>
  <si>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</si>
  <si>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</si>
  <si>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</si>
  <si>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</si>
  <si>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</si>
  <si>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</si>
  <si>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</si>
  <si>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</si>
  <si>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</si>
  <si>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</si>
  <si>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</si>
  <si>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</si>
  <si>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</si>
  <si>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</si>
  <si>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</si>
  <si>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</si>
  <si>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</si>
  <si>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</si>
  <si>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</si>
  <si>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</si>
  <si>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</si>
  <si>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</si>
  <si>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</si>
  <si>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</si>
  <si>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</si>
  <si>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</si>
  <si>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</si>
  <si>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</si>
  <si>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</si>
  <si>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</si>
  <si>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</si>
  <si>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</si>
  <si>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</si>
  <si>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</si>
  <si>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</si>
  <si>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AB Cru / GSC 8645-0335               </t>
  </si>
  <si>
    <t>EA/DM</t>
  </si>
  <si>
    <t>IBVS 5809</t>
  </si>
  <si>
    <t>CCD</t>
  </si>
  <si>
    <t>Next ToM-P</t>
  </si>
  <si>
    <t>Next ToM-S</t>
  </si>
  <si>
    <t>Add cycle</t>
  </si>
  <si>
    <t>Old Cycle</t>
  </si>
  <si>
    <t>Mag  B</t>
  </si>
  <si>
    <t>8.56-9.2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</si>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</sst>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5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top"/>
    </xf>
    <xf numFmtId="0" fontId="18" fillId="0" borderId="9" xfId="0" applyFont="1" applyBorder="1" applyAlignment="1"/>
    <xf numFmtId="0" fontId="16" fillId="0" borderId="9" xfId="0" applyFont="1" applyBorder="1" applyAlignment="1">
      <alignment horizontal="right"/>
    </xf>
    <xf numFmtId="0" fontId="16" fillId="0" borderId="9" xfId="0" applyFont="1" applyBorder="1" applyAlignment="1">
      <alignment horizontal="right" vertical="top"/>
    </xf>
    <xf numFmtId="22" fontId="16" fillId="0" borderId="9" xfId="0" applyNumberFormat="1" applyFont="1" applyBorder="1" applyAlignment="1">
      <alignment horizontal="right" vertical="top"/>
    </xf>
    <xf numFmtId="22" fontId="16" fillId="0" borderId="10" xfId="0" applyNumberFormat="1" applyFont="1" applyBorder="1" applyAlignment="1">
      <alignment horizontal="right"/>
    </xf>
    <xf numFmtId="0" fontId="17" fillId="0" borderId="11" xfId="0" applyFont="1" applyBorder="1" applyAlignment="1">
      <alignment horizontal="right" vertical="top"/>
    </xf>
    <xf numFmtId="0" fontId="1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">
                  <c:v>0.10306080000009388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B7-4190-9BAC-753BE7C131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  <c:pt idx="2">
                  <c:v>0.10155469999881461</c:v>
                </c:pt>
                <c:pt idx="3">
                  <c:v>0.1132560000041849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B7-4190-9BAC-753BE7C131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B7-4190-9BAC-753BE7C131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B7-4190-9BAC-753BE7C131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B7-4190-9BAC-753BE7C131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B7-4190-9BAC-753BE7C131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B7-4190-9BAC-753BE7C131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6816</c:v>
                </c:pt>
                <c:pt idx="2">
                  <c:v>7119</c:v>
                </c:pt>
                <c:pt idx="3">
                  <c:v>7120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6.0029668024902394E-6</c:v>
                </c:pt>
                <c:pt idx="1">
                  <c:v>0.10290073006887714</c:v>
                </c:pt>
                <c:pt idx="2">
                  <c:v>0.10747483545501689</c:v>
                </c:pt>
                <c:pt idx="3">
                  <c:v>0.1074899315123969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B7-4190-9BAC-753BE7C13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964920"/>
        <c:axId val="1"/>
      </c:scatterChart>
      <c:valAx>
        <c:axId val="48596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96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1</xdr:rowOff>
    </xdr:from>
    <xdr:to>
      <xdr:col>17</xdr:col>
      <xdr:colOff>190500</xdr:colOff>
      <xdr:row>18</xdr:row>
      <xdr:rowOff>104776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218047E-BF5A-4F2C-03CB-D3C30E7C8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22</v>
      </c>
      <c r="B2" t="s">
        <v>39</v>
      </c>
      <c r="C2" s="3"/>
    </row>
    <row r="3" spans="1:7" ht="13.5" thickBot="1" x14ac:dyDescent="0.25"/>
    <row r="4" spans="1:7" ht="14.25" thickTop="1" thickBot="1" x14ac:dyDescent="0.25">
      <c r="A4" s="5" t="s">
        <v>37</v>
      </c>
      <c r="C4" s="8">
        <v>52500.165999999997</v>
      </c>
      <c r="D4" s="9">
        <v>3.413316</v>
      </c>
    </row>
    <row r="5" spans="1:7" ht="13.5" thickTop="1" x14ac:dyDescent="0.2"/>
    <row r="6" spans="1:7" x14ac:dyDescent="0.2">
      <c r="A6" s="5" t="s">
        <v>0</v>
      </c>
      <c r="E6" s="44" t="s">
        <v>36</v>
      </c>
    </row>
    <row r="7" spans="1:7" x14ac:dyDescent="0.2">
      <c r="A7" t="s">
        <v>1</v>
      </c>
      <c r="C7" s="31">
        <v>29235.019</v>
      </c>
      <c r="D7" s="31" t="s">
        <v>48</v>
      </c>
      <c r="E7" s="45">
        <v>52500.165999999997</v>
      </c>
    </row>
    <row r="8" spans="1:7" x14ac:dyDescent="0.2">
      <c r="A8" t="s">
        <v>2</v>
      </c>
      <c r="C8" s="31">
        <v>3.4132986999999999</v>
      </c>
      <c r="D8" s="31" t="s">
        <v>48</v>
      </c>
      <c r="E8" s="46">
        <v>3.413316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2">
        <f ca="1">INTERCEPT(INDIRECT($G$11):G975,INDIRECT($F$11):F975)</f>
        <v>6.0029668024902394E-6</v>
      </c>
      <c r="D11" s="3"/>
      <c r="E11" s="12"/>
      <c r="F11" s="23" t="str">
        <f>"F"&amp;E19</f>
        <v>F21</v>
      </c>
      <c r="G11" s="24" t="str">
        <f>"G"&amp;E19</f>
        <v>G21</v>
      </c>
    </row>
    <row r="12" spans="1:7" x14ac:dyDescent="0.2">
      <c r="A12" s="12" t="s">
        <v>15</v>
      </c>
      <c r="B12" s="12"/>
      <c r="C12" s="22">
        <f ca="1">SLOPE(INDIRECT($G$11):G975,INDIRECT($F$11):F975)</f>
        <v>1.5096057379999214E-5</v>
      </c>
      <c r="D12" s="3"/>
      <c r="E12" s="35" t="s">
        <v>46</v>
      </c>
      <c r="F12" s="36" t="s">
        <v>47</v>
      </c>
    </row>
    <row r="13" spans="1:7" x14ac:dyDescent="0.2">
      <c r="A13" s="12" t="s">
        <v>17</v>
      </c>
      <c r="B13" s="12"/>
      <c r="C13" s="3" t="s">
        <v>12</v>
      </c>
      <c r="D13" s="3"/>
      <c r="E13" s="37" t="s">
        <v>44</v>
      </c>
      <c r="F13" s="38">
        <v>1</v>
      </c>
    </row>
    <row r="14" spans="1:7" x14ac:dyDescent="0.2">
      <c r="A14" s="12"/>
      <c r="B14" s="12"/>
      <c r="C14" s="12"/>
      <c r="D14" s="12"/>
      <c r="E14" s="37" t="s">
        <v>30</v>
      </c>
      <c r="F14" s="39">
        <f ca="1">NOW()+15018.5+$C$9/24</f>
        <v>60518.781132986107</v>
      </c>
    </row>
    <row r="15" spans="1:7" x14ac:dyDescent="0.2">
      <c r="A15" s="14" t="s">
        <v>16</v>
      </c>
      <c r="B15" s="12"/>
      <c r="C15" s="15">
        <f ca="1">(C7+C11)+(C8+C12)*INT(MAX(F21:F3516))</f>
        <v>53537.813233931513</v>
      </c>
      <c r="E15" s="37" t="s">
        <v>45</v>
      </c>
      <c r="F15" s="40">
        <f ca="1">ROUND(2*(F14-$C$7)/$C$8,0)/2+F13</f>
        <v>9166.5</v>
      </c>
    </row>
    <row r="16" spans="1:7" x14ac:dyDescent="0.2">
      <c r="A16" s="17" t="s">
        <v>3</v>
      </c>
      <c r="B16" s="12"/>
      <c r="C16" s="18">
        <f ca="1">+C8+C12</f>
        <v>3.4133137960573801</v>
      </c>
      <c r="E16" s="37" t="s">
        <v>31</v>
      </c>
      <c r="F16" s="40">
        <f ca="1">ROUND(2*(F14-$C$15)/$C$16,0)/2+F13</f>
        <v>2046</v>
      </c>
    </row>
    <row r="17" spans="1:21" ht="13.5" thickBot="1" x14ac:dyDescent="0.25">
      <c r="A17" s="16" t="s">
        <v>27</v>
      </c>
      <c r="B17" s="12"/>
      <c r="C17" s="12">
        <f>COUNT(C21:C2174)</f>
        <v>4</v>
      </c>
      <c r="E17" s="37" t="s">
        <v>42</v>
      </c>
      <c r="F17" s="41">
        <f ca="1">+$C$15+$C$16*$F$16-15018.5-$C$9/24</f>
        <v>45503.349093998251</v>
      </c>
    </row>
    <row r="18" spans="1:21" ht="14.25" thickTop="1" thickBot="1" x14ac:dyDescent="0.25">
      <c r="A18" s="17" t="s">
        <v>4</v>
      </c>
      <c r="B18" s="12"/>
      <c r="C18" s="19">
        <f ca="1">+C15</f>
        <v>53537.813233931513</v>
      </c>
      <c r="D18" s="20">
        <f ca="1">+C16</f>
        <v>3.4133137960573801</v>
      </c>
      <c r="E18" s="43" t="s">
        <v>43</v>
      </c>
      <c r="F18" s="42">
        <f ca="1">+($C$15+$C$16*$F$16)-($C$16/2)-15018.5-$C$9/24</f>
        <v>45501.642437100221</v>
      </c>
    </row>
    <row r="19" spans="1:21" ht="13.5" thickTop="1" x14ac:dyDescent="0.2">
      <c r="A19" s="25" t="s">
        <v>33</v>
      </c>
      <c r="E19" s="26">
        <v>21</v>
      </c>
      <c r="F19" s="21" t="s">
        <v>32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36</v>
      </c>
      <c r="I20" s="7" t="s">
        <v>49</v>
      </c>
      <c r="J20" s="7" t="s">
        <v>41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21" x14ac:dyDescent="0.2">
      <c r="A21" s="31" t="str">
        <f>$D$7</f>
        <v>VSX</v>
      </c>
      <c r="B21" s="31"/>
      <c r="C21" s="34">
        <f>$C$7</f>
        <v>29235.019</v>
      </c>
      <c r="D21" s="34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6.0029668024902394E-6</v>
      </c>
      <c r="Q21" s="2">
        <f>+C21-15018.5</f>
        <v>14216.519</v>
      </c>
    </row>
    <row r="22" spans="1:21" x14ac:dyDescent="0.2">
      <c r="A22" s="29" t="s">
        <v>36</v>
      </c>
      <c r="B22" s="28" t="s">
        <v>34</v>
      </c>
      <c r="C22" s="29">
        <v>52500.165999999997</v>
      </c>
      <c r="D22" s="32"/>
      <c r="E22">
        <f>+(C22-C$7)/C$8</f>
        <v>6816.030193900111</v>
      </c>
      <c r="F22">
        <f>ROUND(2*E22,0)/2</f>
        <v>6816</v>
      </c>
      <c r="G22">
        <f>+C22-(C$7+F22*C$8)</f>
        <v>0.10306080000009388</v>
      </c>
      <c r="H22">
        <f>+G22</f>
        <v>0.10306080000009388</v>
      </c>
      <c r="O22">
        <f ca="1">+C$11+C$12*$F22</f>
        <v>0.10290073006887714</v>
      </c>
      <c r="Q22" s="2">
        <f>+C22-15018.5</f>
        <v>37481.665999999997</v>
      </c>
      <c r="U22" s="27" t="s">
        <v>35</v>
      </c>
    </row>
    <row r="23" spans="1:21" x14ac:dyDescent="0.2">
      <c r="A23" s="33" t="s">
        <v>40</v>
      </c>
      <c r="B23" s="30"/>
      <c r="C23" s="33">
        <v>53534.394</v>
      </c>
      <c r="D23" s="33">
        <v>1E-3</v>
      </c>
      <c r="E23">
        <f>+(C23-C$7)/C$8</f>
        <v>7119.0297526554004</v>
      </c>
      <c r="F23">
        <f>ROUND(2*E23,0)/2</f>
        <v>7119</v>
      </c>
      <c r="G23">
        <f>+C23-(C$7+F23*C$8)</f>
        <v>0.10155469999881461</v>
      </c>
      <c r="I23">
        <f>+G23</f>
        <v>0.10155469999881461</v>
      </c>
      <c r="O23">
        <f ca="1">+C$11+C$12*$F23</f>
        <v>0.10747483545501689</v>
      </c>
      <c r="Q23" s="2">
        <f>+C23-15018.5</f>
        <v>38515.894</v>
      </c>
    </row>
    <row r="24" spans="1:21" x14ac:dyDescent="0.2">
      <c r="A24" s="33" t="s">
        <v>40</v>
      </c>
      <c r="B24" s="30"/>
      <c r="C24" s="33">
        <v>53537.819000000003</v>
      </c>
      <c r="D24" s="33">
        <v>2E-3</v>
      </c>
      <c r="E24">
        <f>+(C24-C$7)/C$8</f>
        <v>7120.0331808054198</v>
      </c>
      <c r="F24">
        <f>ROUND(2*E24,0)/2</f>
        <v>7120</v>
      </c>
      <c r="G24">
        <f>+C24-(C$7+F24*C$8)</f>
        <v>0.1132560000041849</v>
      </c>
      <c r="I24">
        <f>+G24</f>
        <v>0.1132560000041849</v>
      </c>
      <c r="O24">
        <f ca="1">+C$11+C$12*$F24</f>
        <v>0.1074899315123969</v>
      </c>
      <c r="Q24" s="2">
        <f>+C24-15018.5</f>
        <v>38519.319000000003</v>
      </c>
    </row>
    <row r="25" spans="1:21" x14ac:dyDescent="0.2">
      <c r="A25" s="31"/>
      <c r="B25" s="31"/>
      <c r="C25" s="34"/>
      <c r="D25" s="34"/>
    </row>
    <row r="26" spans="1:21" x14ac:dyDescent="0.2">
      <c r="A26" s="31"/>
      <c r="B26" s="31"/>
      <c r="C26" s="34"/>
      <c r="D26" s="34"/>
    </row>
    <row r="27" spans="1:21" x14ac:dyDescent="0.2">
      <c r="A27" s="31"/>
      <c r="B27" s="31"/>
      <c r="C27" s="34"/>
      <c r="D27" s="34"/>
    </row>
    <row r="28" spans="1:21" x14ac:dyDescent="0.2">
      <c r="C28" s="10"/>
      <c r="D28" s="10"/>
    </row>
    <row r="29" spans="1:21" x14ac:dyDescent="0.2">
      <c r="C29" s="10"/>
      <c r="D29" s="10"/>
    </row>
    <row r="30" spans="1:21" x14ac:dyDescent="0.2">
      <c r="C30" s="10"/>
      <c r="D30" s="10"/>
    </row>
    <row r="31" spans="1:21" x14ac:dyDescent="0.2">
      <c r="C31" s="10"/>
      <c r="D31" s="10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R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2024-07-27T06:44:49Z</dcterms:modified>
</cp:coreProperties>
</file>