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35BBCD7-CF23-40AB-80ED-41458BBD5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l="1"/>
  <c r="G11" i="1" l="1"/>
  <c r="F11" i="1"/>
  <c r="C17" i="1"/>
  <c r="Q24" i="1"/>
  <c r="Q22" i="1"/>
  <c r="Q23" i="1"/>
  <c r="C8" i="1"/>
  <c r="E22" i="1" s="1"/>
  <c r="F22" i="1" s="1"/>
  <c r="G22" i="1" s="1"/>
  <c r="J22" i="1" s="1"/>
  <c r="C7" i="1"/>
  <c r="Q21" i="1"/>
  <c r="E21" i="1" l="1"/>
  <c r="F21" i="1" s="1"/>
  <c r="G21" i="1" s="1"/>
  <c r="H21" i="1" s="1"/>
  <c r="E24" i="1"/>
  <c r="F24" i="1" s="1"/>
  <c r="G24" i="1" s="1"/>
  <c r="I24" i="1" s="1"/>
  <c r="E23" i="1"/>
  <c r="F23" i="1" s="1"/>
  <c r="G23" i="1" s="1"/>
  <c r="C11" i="1"/>
  <c r="C12" i="1"/>
  <c r="O21" i="1" l="1"/>
  <c r="O23" i="1"/>
  <c r="C15" i="1"/>
  <c r="O22" i="1"/>
  <c r="O24" i="1"/>
  <c r="C16" i="1"/>
  <c r="D18" i="1" s="1"/>
  <c r="I23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<sst xmlns="http://schemas.openxmlformats.org/spreadsheetml/2006/main" count="56" uniqueCount="52">
  <si>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</si>
  <si>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</si>
  <si>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</si>
  <si>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</si>
  <si>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</si>
  <si>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</si>
  <si>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</si>
  <si>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</si>
  <si>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</si>
  <si>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</si>
  <si>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</si>
  <si>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</si>
  <si>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</si>
  <si>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</si>
  <si>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</si>
  <si>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</si>
  <si>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</si>
  <si>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</si>
  <si>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</si>
  <si>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</si>
  <si>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</si>
  <si>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</si>
  <si>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</si>
  <si>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</si>
  <si>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</si>
  <si>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</si>
  <si>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</si>
  <si>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</si>
  <si>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Paschke A</t>
  </si>
  <si>
    <t>BBSAG Bull.79</t>
  </si>
  <si>
    <t>B</t>
  </si>
  <si>
    <t>BBSAG</t>
  </si>
  <si>
    <t>I</t>
  </si>
  <si>
    <t>IBVS 4018</t>
  </si>
  <si>
    <t>IBVS</t>
  </si>
  <si>
    <t># of data points:</t>
  </si>
  <si>
    <t>EA/D</t>
  </si>
  <si>
    <t>IBVS 5931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</si>
  <si>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</si>
  <si>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</si>
  <si>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</si>
  <si>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</si>
  <si>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</si>
  <si>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CCD</t>
  </si>
  <si>
    <t>Add cycle</t>
  </si>
  <si>
    <t>Old Cycle</t>
  </si>
  <si>
    <t>Next ToM-P</t>
  </si>
  <si>
    <t>Next Tom-S</t>
  </si>
  <si>
    <t>AE Cru / GSC 8973-2825</t>
  </si>
  <si>
    <t>VSX</t>
  </si>
  <si>
    <t>9.0-9.7</t>
  </si>
  <si>
    <t xml:space="preserve">Mag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</si>
</sst>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14" fontId="14" fillId="0" borderId="0" xfId="0" applyNumberFormat="1" applyFont="1" applyAlignment="1"/>
    <xf numFmtId="0" fontId="14" fillId="0" borderId="0" xfId="0" applyFont="1" applyAlignment="1">
      <alignment horizontal="center"/>
    </xf>
    <xf numFmtId="0" fontId="18" fillId="0" borderId="0" xfId="0" applyFont="1" applyAlignment="1"/>
    <xf numFmtId="0" fontId="14" fillId="2" borderId="6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top"/>
    </xf>
    <xf numFmtId="0" fontId="3" fillId="0" borderId="9" xfId="0" applyFont="1" applyBorder="1" applyAlignment="1"/>
    <xf numFmtId="0" fontId="8" fillId="0" borderId="9" xfId="0" applyFont="1" applyBorder="1">
      <alignment vertical="top"/>
    </xf>
    <xf numFmtId="165" fontId="7" fillId="0" borderId="9" xfId="0" applyNumberFormat="1" applyFont="1" applyBorder="1">
      <alignment vertical="top"/>
    </xf>
    <xf numFmtId="22" fontId="17" fillId="0" borderId="9" xfId="0" applyNumberFormat="1" applyFont="1" applyBorder="1" applyAlignment="1"/>
    <xf numFmtId="22" fontId="17" fillId="0" borderId="10" xfId="0" applyNumberFormat="1" applyFont="1" applyBorder="1" applyAlignment="1"/>
    <xf numFmtId="0" fontId="16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AE Cru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7058153875345"/>
          <c:y val="0.15"/>
          <c:w val="0.80607911962811873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4212</c:v>
                </c:pt>
                <c:pt idx="2">
                  <c:v>4613</c:v>
                </c:pt>
                <c:pt idx="3">
                  <c:v>6655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6B-4D6C-BBCC-9334973C43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4212</c:v>
                </c:pt>
                <c:pt idx="2">
                  <c:v>4613</c:v>
                </c:pt>
                <c:pt idx="3">
                  <c:v>6655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2">
                  <c:v>-3.8417499999923166E-2</c:v>
                </c:pt>
                <c:pt idx="3">
                  <c:v>-6.7112500008079223E-2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6B-4D6C-BBCC-9334973C43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4212</c:v>
                </c:pt>
                <c:pt idx="2">
                  <c:v>4613</c:v>
                </c:pt>
                <c:pt idx="3">
                  <c:v>6655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">
                  <c:v>-2.8270000002521556E-2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6B-4D6C-BBCC-9334973C43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4212</c:v>
                </c:pt>
                <c:pt idx="2">
                  <c:v>4613</c:v>
                </c:pt>
                <c:pt idx="3">
                  <c:v>6655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6B-4D6C-BBCC-9334973C43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4212</c:v>
                </c:pt>
                <c:pt idx="2">
                  <c:v>4613</c:v>
                </c:pt>
                <c:pt idx="3">
                  <c:v>6655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6B-4D6C-BBCC-9334973C43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4212</c:v>
                </c:pt>
                <c:pt idx="2">
                  <c:v>4613</c:v>
                </c:pt>
                <c:pt idx="3">
                  <c:v>6655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6B-4D6C-BBCC-9334973C43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1E-3</c:v>
                  </c:pt>
                  <c:pt idx="3">
                    <c:v>5.7999999999999996E-3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4212</c:v>
                </c:pt>
                <c:pt idx="2">
                  <c:v>4613</c:v>
                </c:pt>
                <c:pt idx="3">
                  <c:v>6655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6B-4D6C-BBCC-9334973C43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4212</c:v>
                </c:pt>
                <c:pt idx="2">
                  <c:v>4613</c:v>
                </c:pt>
                <c:pt idx="3">
                  <c:v>6655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3.4340339685180542E-2</c:v>
                </c:pt>
                <c:pt idx="1">
                  <c:v>-3.0097007363027999E-2</c:v>
                </c:pt>
                <c:pt idx="2">
                  <c:v>-3.6231712055889258E-2</c:v>
                </c:pt>
                <c:pt idx="3">
                  <c:v>-6.7471280591606675E-2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6B-4D6C-BBCC-9334973C4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096312"/>
        <c:axId val="1"/>
      </c:scatterChart>
      <c:valAx>
        <c:axId val="548096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92605366477952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096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0</xdr:row>
      <xdr:rowOff>0</xdr:rowOff>
    </xdr:from>
    <xdr:to>
      <xdr:col>18</xdr:col>
      <xdr:colOff>285749</xdr:colOff>
      <xdr:row>18</xdr:row>
      <xdr:rowOff>47624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4DB0F26-2012-C2B8-68DE-FB629B94C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69"/>
  <sheetViews>
    <sheetView tabSelected="1" workbookViewId="0">
      <pane xSplit="14" ySplit="22" topLeftCell="O24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4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2" t="s">
        <v>48</v>
      </c>
    </row>
    <row r="2" spans="1:7" x14ac:dyDescent="0.2">
      <c r="A2" t="s">
        <v>24</v>
      </c>
      <c r="B2" s="9" t="s">
        <v>36</v>
      </c>
    </row>
    <row r="4" spans="1:7" x14ac:dyDescent="0.2">
      <c r="A4" s="5" t="s">
        <v>0</v>
      </c>
      <c r="C4" s="2">
        <v>30399.114000000001</v>
      </c>
      <c r="D4" s="3">
        <v>3.4781474999999999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30399.114000000001</v>
      </c>
      <c r="D7" s="28" t="s">
        <v>49</v>
      </c>
    </row>
    <row r="8" spans="1:7" x14ac:dyDescent="0.2">
      <c r="A8" t="s">
        <v>3</v>
      </c>
      <c r="C8">
        <f>+D4</f>
        <v>3.4781474999999999</v>
      </c>
      <c r="D8" s="28" t="s">
        <v>49</v>
      </c>
    </row>
    <row r="9" spans="1:7" x14ac:dyDescent="0.2">
      <c r="A9" s="12" t="s">
        <v>38</v>
      </c>
      <c r="B9" s="13"/>
      <c r="C9" s="14">
        <v>-9.5</v>
      </c>
      <c r="D9" s="13" t="s">
        <v>39</v>
      </c>
      <c r="E9" s="13"/>
    </row>
    <row r="10" spans="1:7" ht="13.5" thickBot="1" x14ac:dyDescent="0.25">
      <c r="A10" s="13"/>
      <c r="B10" s="13"/>
      <c r="C10" s="4" t="s">
        <v>20</v>
      </c>
      <c r="D10" s="4" t="s">
        <v>21</v>
      </c>
      <c r="E10" s="13"/>
    </row>
    <row r="11" spans="1:7" x14ac:dyDescent="0.2">
      <c r="A11" s="13" t="s">
        <v>16</v>
      </c>
      <c r="B11" s="13"/>
      <c r="C11" s="15">
        <f ca="1">INTERCEPT(INDIRECT($G$11):G992,INDIRECT($F$11):F992)</f>
        <v>3.4340339685180542E-2</v>
      </c>
      <c r="D11" s="16"/>
      <c r="E11" s="13"/>
      <c r="F11" s="17" t="str">
        <f>"F"&amp;E19</f>
        <v>F22</v>
      </c>
      <c r="G11" s="18" t="str">
        <f>"G"&amp;E19</f>
        <v>G22</v>
      </c>
    </row>
    <row r="12" spans="1:7" x14ac:dyDescent="0.2">
      <c r="A12" s="13" t="s">
        <v>17</v>
      </c>
      <c r="B12" s="13"/>
      <c r="C12" s="15">
        <f ca="1">SLOPE(INDIRECT($G$11):G992,INDIRECT($F$11):F992)</f>
        <v>-1.5298515443544287E-5</v>
      </c>
      <c r="D12" s="16"/>
      <c r="E12" s="33" t="s">
        <v>51</v>
      </c>
      <c r="F12" s="34" t="s">
        <v>50</v>
      </c>
    </row>
    <row r="13" spans="1:7" x14ac:dyDescent="0.2">
      <c r="A13" s="13" t="s">
        <v>19</v>
      </c>
      <c r="B13" s="13"/>
      <c r="C13" s="16" t="s">
        <v>14</v>
      </c>
      <c r="D13" s="16"/>
      <c r="E13" s="35" t="s">
        <v>44</v>
      </c>
      <c r="F13" s="36">
        <v>1</v>
      </c>
    </row>
    <row r="14" spans="1:7" x14ac:dyDescent="0.2">
      <c r="A14" s="13"/>
      <c r="B14" s="13"/>
      <c r="C14" s="13"/>
      <c r="D14" s="13"/>
      <c r="E14" s="35" t="s">
        <v>40</v>
      </c>
      <c r="F14" s="37">
        <f ca="1">NOW()+15018.5+$C$5/24</f>
        <v>60519.152866666664</v>
      </c>
    </row>
    <row r="15" spans="1:7" x14ac:dyDescent="0.2">
      <c r="A15" s="19" t="s">
        <v>18</v>
      </c>
      <c r="B15" s="13"/>
      <c r="C15" s="20">
        <f ca="1">(C7+C11)+(C8+C12)*INT(MAX(F21:F3533))</f>
        <v>53546.118141219413</v>
      </c>
      <c r="E15" s="35" t="s">
        <v>45</v>
      </c>
      <c r="F15" s="37">
        <f ca="1">ROUND(2*(F14-$C$7)/$C$8,0)/2+F13</f>
        <v>8661</v>
      </c>
    </row>
    <row r="16" spans="1:7" x14ac:dyDescent="0.2">
      <c r="A16" s="22" t="s">
        <v>4</v>
      </c>
      <c r="B16" s="13"/>
      <c r="C16" s="23">
        <f ca="1">+C8+C12</f>
        <v>3.4781322014845566</v>
      </c>
      <c r="E16" s="35" t="s">
        <v>41</v>
      </c>
      <c r="F16" s="38">
        <f ca="1">ROUND(2*(F14-$C$15)/$C$16,0)/2+F13</f>
        <v>2006</v>
      </c>
    </row>
    <row r="17" spans="1:30" ht="13.5" thickBot="1" x14ac:dyDescent="0.25">
      <c r="A17" s="21" t="s">
        <v>35</v>
      </c>
      <c r="B17" s="13"/>
      <c r="C17" s="13">
        <f>COUNT(C21:C2191)</f>
        <v>4</v>
      </c>
      <c r="E17" s="35" t="s">
        <v>46</v>
      </c>
      <c r="F17" s="39">
        <f ca="1">+$C$15+$C$16*$F$16-15018.5-$C$5/24</f>
        <v>45504.751337397436</v>
      </c>
    </row>
    <row r="18" spans="1:30" ht="14.25" thickTop="1" thickBot="1" x14ac:dyDescent="0.25">
      <c r="A18" s="22" t="s">
        <v>5</v>
      </c>
      <c r="B18" s="13"/>
      <c r="C18" s="24">
        <f ca="1">+C15</f>
        <v>53546.118141219413</v>
      </c>
      <c r="D18" s="25">
        <f ca="1">+C16</f>
        <v>3.4781322014845566</v>
      </c>
      <c r="E18" s="41" t="s">
        <v>47</v>
      </c>
      <c r="F18" s="40">
        <f ca="1">+($C$15+$C$16*$F$16)-($C$16/2)-15018.5-$C$5/24</f>
        <v>45503.012271296691</v>
      </c>
    </row>
    <row r="19" spans="1:30" ht="13.5" thickTop="1" x14ac:dyDescent="0.2">
      <c r="A19" s="26" t="s">
        <v>42</v>
      </c>
      <c r="E19" s="27">
        <v>22</v>
      </c>
    </row>
    <row r="20" spans="1:30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31</v>
      </c>
      <c r="J20" s="7" t="s">
        <v>34</v>
      </c>
      <c r="K20" s="7" t="s">
        <v>43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30" s="28" customFormat="1" x14ac:dyDescent="0.2">
      <c r="A21" s="28" t="s">
        <v>12</v>
      </c>
      <c r="C21" s="29">
        <v>30399.114000000001</v>
      </c>
      <c r="D21" s="29" t="s">
        <v>14</v>
      </c>
      <c r="E21" s="28">
        <f>+(C21-C$7)/C$8</f>
        <v>0</v>
      </c>
      <c r="F21" s="28">
        <f>ROUND(2*E21,0)/2</f>
        <v>0</v>
      </c>
      <c r="G21" s="28">
        <f>+C21-(C$7+F21*C$8)</f>
        <v>0</v>
      </c>
      <c r="H21" s="28">
        <f>+G21</f>
        <v>0</v>
      </c>
      <c r="O21" s="28">
        <f ca="1">+C$11+C$12*$F21</f>
        <v>3.4340339685180542E-2</v>
      </c>
      <c r="Q21" s="30">
        <f>+C21-15018.5</f>
        <v>15380.614000000001</v>
      </c>
    </row>
    <row r="22" spans="1:30" s="28" customFormat="1" x14ac:dyDescent="0.2">
      <c r="A22" s="28" t="s">
        <v>33</v>
      </c>
      <c r="B22" s="31" t="s">
        <v>32</v>
      </c>
      <c r="C22" s="29">
        <v>45049.042999999998</v>
      </c>
      <c r="D22" s="29">
        <v>1E-3</v>
      </c>
      <c r="E22" s="28">
        <f>+(C22-C$7)/C$8</f>
        <v>4211.9918721100803</v>
      </c>
      <c r="F22" s="28">
        <f>ROUND(2*E22,0)/2</f>
        <v>4212</v>
      </c>
      <c r="G22" s="28">
        <f>+C22-(C$7+F22*C$8)</f>
        <v>-2.8270000002521556E-2</v>
      </c>
      <c r="J22" s="28">
        <f>+G22</f>
        <v>-2.8270000002521556E-2</v>
      </c>
      <c r="O22" s="28">
        <f ca="1">+C$11+C$12*$F22</f>
        <v>-3.0097007363027999E-2</v>
      </c>
      <c r="Q22" s="30">
        <f>+C22-15018.5</f>
        <v>30030.542999999998</v>
      </c>
    </row>
    <row r="23" spans="1:30" s="28" customFormat="1" x14ac:dyDescent="0.2">
      <c r="A23" s="28" t="s">
        <v>29</v>
      </c>
      <c r="C23" s="29">
        <v>46443.77</v>
      </c>
      <c r="D23" s="29"/>
      <c r="E23" s="28">
        <f>+(C23-C$7)/C$8</f>
        <v>4612.9889546087379</v>
      </c>
      <c r="F23" s="28">
        <f>ROUND(2*E23,0)/2</f>
        <v>4613</v>
      </c>
      <c r="G23" s="28">
        <f>+C23-(C$7+F23*C$8)</f>
        <v>-3.8417499999923166E-2</v>
      </c>
      <c r="I23" s="28">
        <f>+G23</f>
        <v>-3.8417499999923166E-2</v>
      </c>
      <c r="O23" s="28">
        <f ca="1">+C$11+C$12*$F23</f>
        <v>-3.6231712055889258E-2</v>
      </c>
      <c r="Q23" s="30">
        <f>+C23-15018.5</f>
        <v>31425.269999999997</v>
      </c>
      <c r="AA23" s="28">
        <v>9</v>
      </c>
      <c r="AB23" s="28" t="s">
        <v>28</v>
      </c>
      <c r="AD23" s="28" t="s">
        <v>30</v>
      </c>
    </row>
    <row r="24" spans="1:30" s="28" customFormat="1" x14ac:dyDescent="0.2">
      <c r="A24" s="10" t="s">
        <v>37</v>
      </c>
      <c r="B24" s="11" t="s">
        <v>32</v>
      </c>
      <c r="C24" s="10">
        <v>53546.118499999997</v>
      </c>
      <c r="D24" s="10">
        <v>5.7999999999999996E-3</v>
      </c>
      <c r="E24" s="28">
        <f>+(C24-C$7)/C$8</f>
        <v>6654.9807045273374</v>
      </c>
      <c r="F24" s="28">
        <f>ROUND(2*E24,0)/2</f>
        <v>6655</v>
      </c>
      <c r="G24" s="28">
        <f>+C24-(C$7+F24*C$8)</f>
        <v>-6.7112500008079223E-2</v>
      </c>
      <c r="I24" s="28">
        <f>+G24</f>
        <v>-6.7112500008079223E-2</v>
      </c>
      <c r="O24" s="28">
        <f ca="1">+C$11+C$12*$F24</f>
        <v>-6.7471280591606675E-2</v>
      </c>
      <c r="Q24" s="30">
        <f>+C24-15018.5</f>
        <v>38527.618499999997</v>
      </c>
    </row>
    <row r="25" spans="1:30" x14ac:dyDescent="0.2">
      <c r="C25" s="8"/>
      <c r="D25" s="8"/>
      <c r="Q25" s="1"/>
    </row>
    <row r="26" spans="1:30" x14ac:dyDescent="0.2">
      <c r="C26" s="8"/>
      <c r="D26" s="8"/>
      <c r="Q26" s="1"/>
    </row>
    <row r="27" spans="1:30" x14ac:dyDescent="0.2">
      <c r="C27" s="8"/>
      <c r="D27" s="8"/>
      <c r="Q27" s="1"/>
    </row>
    <row r="28" spans="1:30" x14ac:dyDescent="0.2">
      <c r="C28" s="8"/>
      <c r="D28" s="8"/>
    </row>
    <row r="29" spans="1:30" x14ac:dyDescent="0.2">
      <c r="C29" s="8"/>
      <c r="D29" s="8"/>
    </row>
    <row r="30" spans="1:30" x14ac:dyDescent="0.2">
      <c r="C30" s="8"/>
      <c r="D30" s="8"/>
    </row>
    <row r="31" spans="1:30" x14ac:dyDescent="0.2">
      <c r="C31" s="8"/>
      <c r="D31" s="8"/>
    </row>
    <row r="32" spans="1:30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2024-07-27T06:10:07Z</dcterms:modified>
</cp:coreProperties>
</file>