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F6616AD-6FD6-4B26-A0C6-C231788161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C21" i="1"/>
  <c r="R22" i="1"/>
  <c r="A21" i="1"/>
  <c r="G11" i="1"/>
  <c r="F11" i="1"/>
  <c r="C7" i="1"/>
  <c r="C8" i="1"/>
  <c r="E21" i="1"/>
  <c r="F21" i="1"/>
  <c r="G21" i="1"/>
  <c r="H21" i="1"/>
  <c r="C17" i="1"/>
  <c r="Q21" i="1"/>
  <c r="C12" i="1"/>
  <c r="F15" i="1" l="1"/>
  <c r="C16" i="1"/>
  <c r="D18" i="1" s="1"/>
  <c r="C11" i="1"/>
  <c r="O21" i="1" l="1"/>
  <c r="C15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<sst xmlns="http://schemas.openxmlformats.org/spreadsheetml/2006/main" count="56" uniqueCount="50">
  <si>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</si>
  <si>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</si>
  <si>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</si>
  <si>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</si>
  <si>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</si>
  <si>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</si>
  <si>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</si>
  <si>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</si>
  <si>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</si>
  <si>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</si>
  <si>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</si>
  <si>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</si>
  <si>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</si>
  <si>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</si>
  <si>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</si>
  <si>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</si>
  <si>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</si>
  <si>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</si>
  <si>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</si>
  <si>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</si>
  <si>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</si>
  <si>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</si>
  <si>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</si>
  <si>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</si>
  <si>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</si>
  <si>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</si>
  <si>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</si>
  <si>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</si>
  <si>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</si>
  <si>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</si>
  <si>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</si>
  <si>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</si>
  <si>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</si>
  <si>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</si>
  <si>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</si>
  <si>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</si>
  <si>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G8975-0462_Cru.xls</t>
  </si>
  <si>
    <t>EA</t>
  </si>
  <si>
    <t>IBVS 5495 Eph.</t>
  </si>
  <si>
    <t>IBVS 5495</t>
  </si>
  <si>
    <t>Cru</t>
  </si>
  <si>
    <t>EO Cru / GSC 8975-0462  / NSV 05640</t>
  </si>
  <si>
    <t>CCD</t>
  </si>
  <si>
    <t>VSX</t>
  </si>
  <si>
    <t xml:space="preserve">Mag </t>
  </si>
  <si>
    <t>9.54-10.01</t>
  </si>
  <si>
    <t>Add cycle</t>
  </si>
  <si>
    <t>Old Cycle</t>
  </si>
  <si>
    <t>Next ToM-P</t>
  </si>
  <si>
    <t>Next ToM-S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</si>
</sst>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5" fillId="0" borderId="0" xfId="0" applyFont="1">
      <alignment vertical="top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/>
    <xf numFmtId="0" fontId="16" fillId="0" borderId="8" xfId="0" applyFont="1" applyBorder="1" applyAlignment="1">
      <alignment horizontal="right" vertical="top"/>
    </xf>
    <xf numFmtId="0" fontId="18" fillId="0" borderId="9" xfId="0" applyFont="1" applyBorder="1" applyAlignment="1"/>
    <xf numFmtId="0" fontId="17" fillId="0" borderId="9" xfId="0" applyFont="1" applyBorder="1" applyAlignment="1">
      <alignment horizontal="right"/>
    </xf>
    <xf numFmtId="22" fontId="16" fillId="0" borderId="8" xfId="0" applyNumberFormat="1" applyFont="1" applyBorder="1" applyAlignment="1">
      <alignment horizontal="right" vertical="top"/>
    </xf>
    <xf numFmtId="0" fontId="17" fillId="0" borderId="10" xfId="0" applyFont="1" applyBorder="1" applyAlignment="1">
      <alignment horizontal="right"/>
    </xf>
    <xf numFmtId="0" fontId="16" fillId="0" borderId="11" xfId="0" applyFont="1" applyBorder="1" applyAlignment="1">
      <alignment horizontal="right"/>
    </xf>
    <xf numFmtId="0" fontId="14" fillId="3" borderId="6" xfId="0" applyFont="1" applyFill="1" applyBorder="1" applyAlignment="1">
      <alignment horizontal="right" vertical="center"/>
    </xf>
    <xf numFmtId="0" fontId="14" fillId="3" borderId="7" xfId="0" applyFont="1" applyFill="1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EO Cru - O-C Diagr.</a:t>
            </a:r>
          </a:p>
        </c:rich>
      </c:tx>
      <c:layout>
        <c:manualLayout>
          <c:xMode val="edge"/>
          <c:yMode val="edge"/>
          <c:x val="0.38045112781954887"/>
          <c:y val="4.30107526881720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A5-4CC8-AFE8-173780A87B0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A5-4CC8-AFE8-173780A87B0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9A5-4CC8-AFE8-173780A87B0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9A5-4CC8-AFE8-173780A87B0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9A5-4CC8-AFE8-173780A87B0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9A5-4CC8-AFE8-173780A87B0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9A5-4CC8-AFE8-173780A87B0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9A5-4CC8-AFE8-173780A87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49024"/>
        <c:axId val="1"/>
      </c:scatterChart>
      <c:valAx>
        <c:axId val="97149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1490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0</xdr:rowOff>
    </xdr:from>
    <xdr:to>
      <xdr:col>17</xdr:col>
      <xdr:colOff>209550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C6CB1EBD-15F6-D85B-2601-A7228479E8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16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41</v>
      </c>
      <c r="E1" s="27"/>
      <c r="F1" s="27" t="s">
        <v>36</v>
      </c>
      <c r="G1" s="28" t="s">
        <v>37</v>
      </c>
      <c r="H1" s="11" t="s">
        <v>38</v>
      </c>
      <c r="I1" s="29">
        <v>52134.48</v>
      </c>
      <c r="J1" s="29">
        <v>5.0244</v>
      </c>
      <c r="K1" s="28" t="s">
        <v>39</v>
      </c>
      <c r="L1" s="30" t="s">
        <v>40</v>
      </c>
    </row>
    <row r="2" spans="1:12" x14ac:dyDescent="0.2">
      <c r="A2" t="s">
        <v>23</v>
      </c>
      <c r="B2" t="s">
        <v>37</v>
      </c>
      <c r="C2" s="3"/>
    </row>
    <row r="3" spans="1:12" ht="13.5" thickBot="1" x14ac:dyDescent="0.25"/>
    <row r="4" spans="1:12" ht="14.25" thickTop="1" thickBot="1" x14ac:dyDescent="0.25">
      <c r="A4" s="26" t="s">
        <v>38</v>
      </c>
      <c r="C4" s="8">
        <v>52134.48</v>
      </c>
      <c r="D4" s="9">
        <v>5.0244</v>
      </c>
    </row>
    <row r="6" spans="1:12" x14ac:dyDescent="0.2">
      <c r="A6" s="5" t="s">
        <v>0</v>
      </c>
    </row>
    <row r="7" spans="1:12" x14ac:dyDescent="0.2">
      <c r="A7" t="s">
        <v>1</v>
      </c>
      <c r="C7">
        <f>+C4</f>
        <v>52134.48</v>
      </c>
      <c r="D7" s="31" t="s">
        <v>43</v>
      </c>
    </row>
    <row r="8" spans="1:12" x14ac:dyDescent="0.2">
      <c r="A8" t="s">
        <v>2</v>
      </c>
      <c r="C8">
        <f>+D4</f>
        <v>5.0244</v>
      </c>
      <c r="D8" s="31" t="s">
        <v>43</v>
      </c>
    </row>
    <row r="9" spans="1:12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12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12" x14ac:dyDescent="0.2">
      <c r="A11" s="12" t="s">
        <v>14</v>
      </c>
      <c r="B11" s="12"/>
      <c r="C11" s="21" t="e">
        <f ca="1">INTERCEPT(INDIRECT($G$11):G992,INDIRECT($F$11):F992)</f>
        <v>#DIV/0!</v>
      </c>
      <c r="D11" s="3"/>
      <c r="E11" s="12"/>
      <c r="F11" s="22" t="str">
        <f>"F"&amp;E19</f>
        <v>F21</v>
      </c>
      <c r="G11" s="23" t="str">
        <f>"G"&amp;E19</f>
        <v>G21</v>
      </c>
    </row>
    <row r="12" spans="1:12" x14ac:dyDescent="0.2">
      <c r="A12" s="12" t="s">
        <v>15</v>
      </c>
      <c r="B12" s="12"/>
      <c r="C12" s="21" t="e">
        <f ca="1">SLOPE(INDIRECT($G$11):G992,INDIRECT($F$11):F992)</f>
        <v>#DIV/0!</v>
      </c>
      <c r="D12" s="3"/>
      <c r="E12" s="38" t="s">
        <v>44</v>
      </c>
      <c r="F12" s="39" t="s">
        <v>45</v>
      </c>
    </row>
    <row r="13" spans="1:12" x14ac:dyDescent="0.2">
      <c r="A13" s="12" t="s">
        <v>18</v>
      </c>
      <c r="B13" s="12"/>
      <c r="C13" s="3" t="s">
        <v>12</v>
      </c>
      <c r="D13" s="3"/>
      <c r="E13" s="32" t="s">
        <v>46</v>
      </c>
      <c r="F13" s="33">
        <v>1</v>
      </c>
    </row>
    <row r="14" spans="1:12" x14ac:dyDescent="0.2">
      <c r="A14" s="12"/>
      <c r="B14" s="12"/>
      <c r="C14" s="12"/>
      <c r="D14" s="12"/>
      <c r="E14" s="32" t="s">
        <v>32</v>
      </c>
      <c r="F14" s="34">
        <f ca="1">NOW()+15018.5+$C$9/24</f>
        <v>60518.82493657407</v>
      </c>
    </row>
    <row r="15" spans="1:12" x14ac:dyDescent="0.2">
      <c r="A15" s="14" t="s">
        <v>16</v>
      </c>
      <c r="B15" s="12"/>
      <c r="C15" s="15" t="e">
        <f ca="1">(C7+C11)+(C8+C12)*INT(MAX(F21:F3533))</f>
        <v>#DIV/0!</v>
      </c>
      <c r="D15" s="16" t="s">
        <v>32</v>
      </c>
      <c r="E15" s="32" t="s">
        <v>47</v>
      </c>
      <c r="F15" s="34">
        <f ca="1">ROUND(2*($F$14-$C$7)/$C$8,0)/2+$F$13</f>
        <v>1669.5</v>
      </c>
    </row>
    <row r="16" spans="1:12" x14ac:dyDescent="0.2">
      <c r="A16" s="17" t="s">
        <v>3</v>
      </c>
      <c r="B16" s="12"/>
      <c r="C16" s="18" t="e">
        <f ca="1">+C8+C12</f>
        <v>#DIV/0!</v>
      </c>
      <c r="D16" s="16" t="s">
        <v>33</v>
      </c>
      <c r="E16" s="32" t="s">
        <v>33</v>
      </c>
      <c r="F16" s="34" t="e">
        <f ca="1">ROUND(2*($F$14-$C$15)/$C$16,0)/2+$F$13</f>
        <v>#DIV/0!</v>
      </c>
    </row>
    <row r="17" spans="1:18" ht="13.5" thickBot="1" x14ac:dyDescent="0.25">
      <c r="A17" s="16" t="s">
        <v>29</v>
      </c>
      <c r="B17" s="12"/>
      <c r="C17" s="12">
        <f>COUNT(C21:C2191)</f>
        <v>1</v>
      </c>
      <c r="D17" s="16" t="s">
        <v>34</v>
      </c>
      <c r="E17" s="35" t="s">
        <v>48</v>
      </c>
      <c r="F17" s="34" t="e">
        <f ca="1">+$C$15+$C$16*$F$16-15018.5-$C$9/24</f>
        <v>#DIV/0!</v>
      </c>
    </row>
    <row r="18" spans="1:18" ht="14.25" thickTop="1" thickBot="1" x14ac:dyDescent="0.25">
      <c r="A18" s="17" t="s">
        <v>4</v>
      </c>
      <c r="B18" s="12"/>
      <c r="C18" s="19" t="e">
        <f ca="1">+C15</f>
        <v>#DIV/0!</v>
      </c>
      <c r="D18" s="20" t="e">
        <f ca="1">+C16</f>
        <v>#DIV/0!</v>
      </c>
      <c r="E18" s="37" t="s">
        <v>49</v>
      </c>
      <c r="F18" s="36" t="e">
        <f ca="1">+($C$15+$C$16*$F$16)-($C$16/2)-15018.5-$C$9/24</f>
        <v>#DIV/0!</v>
      </c>
    </row>
    <row r="19" spans="1:18" ht="13.5" thickTop="1" x14ac:dyDescent="0.2">
      <c r="A19" s="24" t="s">
        <v>35</v>
      </c>
      <c r="E19" s="25">
        <v>21</v>
      </c>
    </row>
    <row r="20" spans="1:18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28</v>
      </c>
      <c r="I20" s="7" t="s">
        <v>42</v>
      </c>
      <c r="J20" s="7" t="s">
        <v>17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13</v>
      </c>
    </row>
    <row r="21" spans="1:18" x14ac:dyDescent="0.2">
      <c r="A21" t="str">
        <f>$K$1</f>
        <v>IBVS 5495</v>
      </c>
      <c r="C21" s="10">
        <f>+$C$4</f>
        <v>52134.48</v>
      </c>
      <c r="D21" s="10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37115.980000000003</v>
      </c>
    </row>
    <row r="22" spans="1:18" x14ac:dyDescent="0.2">
      <c r="C22" s="10"/>
      <c r="D22" s="10"/>
      <c r="Q22" s="2"/>
      <c r="R22" t="str">
        <f>IF(ABS(C22-C21)&lt;0.00001,1,"")</f>
        <v/>
      </c>
    </row>
    <row r="23" spans="1:18" x14ac:dyDescent="0.2">
      <c r="C23" s="10"/>
      <c r="D23" s="10"/>
      <c r="Q23" s="2"/>
    </row>
    <row r="24" spans="1:18" x14ac:dyDescent="0.2">
      <c r="Q24" s="2"/>
    </row>
    <row r="25" spans="1:18" x14ac:dyDescent="0.2">
      <c r="C25" s="10"/>
      <c r="D25" s="10"/>
      <c r="Q25" s="2"/>
    </row>
    <row r="26" spans="1:18" x14ac:dyDescent="0.2">
      <c r="C26" s="10"/>
      <c r="D26" s="10"/>
      <c r="Q26" s="2"/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2024-07-27T07:47:54Z</dcterms:modified>
</cp:coreProperties>
</file>