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53384C7-E7BD-415E-AFA4-8384EA903E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2" i="1" l="1"/>
  <c r="F23" i="1"/>
  <c r="F24" i="1"/>
  <c r="F25" i="1"/>
  <c r="F21" i="1"/>
  <c r="E21" i="1"/>
  <c r="Q21" i="1"/>
  <c r="F14" i="1"/>
  <c r="E25" i="1"/>
  <c r="G25" i="1" s="1"/>
  <c r="K25" i="1" s="1"/>
  <c r="Q25" i="1"/>
  <c r="E22" i="1"/>
  <c r="E23" i="1"/>
  <c r="G23" i="1" s="1"/>
  <c r="K23" i="1" s="1"/>
  <c r="E24" i="1"/>
  <c r="D9" i="1"/>
  <c r="C9" i="1"/>
  <c r="Q22" i="1"/>
  <c r="Q23" i="1"/>
  <c r="Q24" i="1"/>
  <c r="C17" i="1"/>
  <c r="G24" i="1" l="1"/>
  <c r="K24" i="1" s="1"/>
  <c r="G22" i="1"/>
  <c r="K22" i="1" s="1"/>
  <c r="G21" i="1"/>
  <c r="F15" i="1"/>
  <c r="C11" i="1"/>
  <c r="C12" i="1"/>
  <c r="C16" i="1" l="1"/>
  <c r="D18" i="1" s="1"/>
  <c r="O22" i="1"/>
  <c r="S22" i="1" s="1"/>
  <c r="O21" i="1"/>
  <c r="C15" i="1"/>
  <c r="F16" i="1" s="1"/>
  <c r="F17" i="1" s="1"/>
  <c r="O24" i="1"/>
  <c r="S24" i="1" s="1"/>
  <c r="O25" i="1"/>
  <c r="S25" i="1" s="1"/>
  <c r="O23" i="1"/>
  <c r="S23" i="1" s="1"/>
  <c r="H21" i="1"/>
  <c r="S19" i="1" l="1"/>
  <c r="C18" i="1"/>
  <c r="F18" i="1"/>
</calcChain>
</file>

<file path=xl/sharedStrings.xml><?xml version="1.0" encoding="utf-8"?>
<sst xmlns="http://schemas.openxmlformats.org/spreadsheetml/2006/main" count="65" uniqueCount="58">
  <si>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</si>
  <si>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</si>
  <si>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</si>
  <si>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</si>
  <si>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</si>
  <si>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</si>
  <si>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</si>
  <si>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</si>
  <si>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</si>
  <si>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</si>
  <si>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</si>
  <si>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</si>
  <si>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</si>
  <si>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</si>
  <si>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</si>
  <si>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</si>
  <si>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</si>
  <si>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</si>
  <si>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</si>
  <si>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</si>
  <si>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</si>
  <si>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</si>
  <si>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</si>
  <si>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</si>
  <si>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</si>
  <si>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</si>
  <si>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</si>
  <si>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</si>
  <si>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</si>
  <si>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</si>
  <si>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</si>
  <si>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</si>
  <si>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</si>
  <si>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</si>
  <si>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</si>
  <si>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</si>
  <si>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</si>
  <si>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</si>
  <si>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G5532-1333</t>
  </si>
  <si>
    <t>G5532-1333_Crv.xls</t>
  </si>
  <si>
    <t>Crv</t>
  </si>
  <si>
    <t>VSX</t>
  </si>
  <si>
    <t>IBVS 5992</t>
  </si>
  <si>
    <t>I</t>
  </si>
  <si>
    <t>IBVS 6029</t>
  </si>
  <si>
    <t>VSB 069</t>
  </si>
  <si>
    <t>Ic</t>
  </si>
  <si>
    <t>vis</t>
  </si>
  <si>
    <t>PE</t>
  </si>
  <si>
    <t>CCD</t>
  </si>
  <si>
    <t>AF CrV / GSC 5532-1333</t>
  </si>
  <si>
    <t xml:space="preserve">Mag </t>
  </si>
  <si>
    <t>Next ToM-P</t>
  </si>
  <si>
    <t>Next ToM-S</t>
  </si>
  <si>
    <t>VSX 1</t>
  </si>
  <si>
    <t>10.93-11.47</t>
  </si>
  <si>
    <t>VSX 2</t>
  </si>
  <si>
    <t>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</si>
</sst>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17" fillId="0" borderId="1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7" applyFont="1"/>
    <xf numFmtId="0" fontId="15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0" fontId="0" fillId="0" borderId="0" xfId="0" applyAlignment="1">
      <alignment horizontal="right"/>
    </xf>
    <xf numFmtId="0" fontId="18" fillId="0" borderId="7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6" fillId="3" borderId="5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16" fillId="3" borderId="6" xfId="0" applyFont="1" applyFill="1" applyBorder="1" applyAlignment="1">
      <alignment horizontal="center" vertical="center"/>
    </xf>
    <xf numFmtId="0" fontId="16" fillId="0" borderId="0" xfId="0" applyFont="1" applyAlignment="1"/>
    <xf numFmtId="0" fontId="1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Fill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AF Crv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7756</c:v>
                </c:pt>
                <c:pt idx="2">
                  <c:v>8525</c:v>
                </c:pt>
                <c:pt idx="3">
                  <c:v>8668</c:v>
                </c:pt>
                <c:pt idx="4">
                  <c:v>14774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BE-4BA4-AD6F-7F8233BE24A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7756</c:v>
                </c:pt>
                <c:pt idx="2">
                  <c:v>8525</c:v>
                </c:pt>
                <c:pt idx="3">
                  <c:v>8668</c:v>
                </c:pt>
                <c:pt idx="4">
                  <c:v>14774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BE-4BA4-AD6F-7F8233BE24A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7756</c:v>
                </c:pt>
                <c:pt idx="2">
                  <c:v>8525</c:v>
                </c:pt>
                <c:pt idx="3">
                  <c:v>8668</c:v>
                </c:pt>
                <c:pt idx="4">
                  <c:v>14774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BE-4BA4-AD6F-7F8233BE24A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7756</c:v>
                </c:pt>
                <c:pt idx="2">
                  <c:v>8525</c:v>
                </c:pt>
                <c:pt idx="3">
                  <c:v>8668</c:v>
                </c:pt>
                <c:pt idx="4">
                  <c:v>14774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5.6320000003324822E-3</c:v>
                </c:pt>
                <c:pt idx="2">
                  <c:v>9.0249999993829988E-3</c:v>
                </c:pt>
                <c:pt idx="3">
                  <c:v>1.039600000513019E-2</c:v>
                </c:pt>
                <c:pt idx="4">
                  <c:v>4.9178000001120381E-2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BE-4BA4-AD6F-7F8233BE24A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7756</c:v>
                </c:pt>
                <c:pt idx="2">
                  <c:v>8525</c:v>
                </c:pt>
                <c:pt idx="3">
                  <c:v>8668</c:v>
                </c:pt>
                <c:pt idx="4">
                  <c:v>14774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BE-4BA4-AD6F-7F8233BE24A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7756</c:v>
                </c:pt>
                <c:pt idx="2">
                  <c:v>8525</c:v>
                </c:pt>
                <c:pt idx="3">
                  <c:v>8668</c:v>
                </c:pt>
                <c:pt idx="4">
                  <c:v>14774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BE-4BA4-AD6F-7F8233BE24A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7756</c:v>
                </c:pt>
                <c:pt idx="2">
                  <c:v>8525</c:v>
                </c:pt>
                <c:pt idx="3">
                  <c:v>8668</c:v>
                </c:pt>
                <c:pt idx="4">
                  <c:v>14774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BE-4BA4-AD6F-7F8233BE24A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7756</c:v>
                </c:pt>
                <c:pt idx="2">
                  <c:v>8525</c:v>
                </c:pt>
                <c:pt idx="3">
                  <c:v>8668</c:v>
                </c:pt>
                <c:pt idx="4">
                  <c:v>14774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-1.0107155315179932E-2</c:v>
                </c:pt>
                <c:pt idx="1">
                  <c:v>1.425382243496357E-2</c:v>
                </c:pt>
                <c:pt idx="2">
                  <c:v>1.6669190136080168E-2</c:v>
                </c:pt>
                <c:pt idx="3">
                  <c:v>1.7118341737198083E-2</c:v>
                </c:pt>
                <c:pt idx="4">
                  <c:v>3.6296801012904147E-2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BE-4BA4-AD6F-7F8233BE24A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7756</c:v>
                </c:pt>
                <c:pt idx="2">
                  <c:v>8525</c:v>
                </c:pt>
                <c:pt idx="3">
                  <c:v>8668</c:v>
                </c:pt>
                <c:pt idx="4">
                  <c:v>14774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ABE-4BA4-AD6F-7F8233BE2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922656"/>
        <c:axId val="1"/>
      </c:scatterChart>
      <c:valAx>
        <c:axId val="610922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922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0</xdr:row>
      <xdr:rowOff>0</xdr:rowOff>
    </xdr:from>
    <xdr:to>
      <xdr:col>17</xdr:col>
      <xdr:colOff>266700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EF7E50E-CA73-33CD-3881-B34473C57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39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8554687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50</v>
      </c>
      <c r="E1" t="s">
        <v>39</v>
      </c>
    </row>
    <row r="2" spans="1:6" x14ac:dyDescent="0.2">
      <c r="A2" t="s">
        <v>23</v>
      </c>
      <c r="B2" s="47" t="s">
        <v>57</v>
      </c>
      <c r="C2" s="29" t="s">
        <v>37</v>
      </c>
      <c r="D2" s="3" t="s">
        <v>40</v>
      </c>
      <c r="E2" s="30" t="s">
        <v>38</v>
      </c>
      <c r="F2" t="e">
        <v>#N/A</v>
      </c>
    </row>
    <row r="3" spans="1:6" ht="13.5" thickBot="1" x14ac:dyDescent="0.25"/>
    <row r="4" spans="1:6" ht="14.25" thickTop="1" thickBot="1" x14ac:dyDescent="0.25">
      <c r="A4" s="5" t="s">
        <v>0</v>
      </c>
      <c r="C4" s="26" t="s">
        <v>36</v>
      </c>
      <c r="D4" s="27" t="s">
        <v>36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6" x14ac:dyDescent="0.2">
      <c r="A6" s="5" t="s">
        <v>1</v>
      </c>
      <c r="E6" s="48" t="s">
        <v>54</v>
      </c>
    </row>
    <row r="7" spans="1:6" x14ac:dyDescent="0.2">
      <c r="A7" t="s">
        <v>2</v>
      </c>
      <c r="C7" s="38">
        <v>51935.703999999998</v>
      </c>
      <c r="D7" s="28" t="s">
        <v>56</v>
      </c>
      <c r="E7" s="49">
        <v>55615.954899999997</v>
      </c>
    </row>
    <row r="8" spans="1:6" x14ac:dyDescent="0.2">
      <c r="A8" t="s">
        <v>3</v>
      </c>
      <c r="C8" s="38">
        <v>0.47450300000000001</v>
      </c>
      <c r="D8" s="28" t="s">
        <v>56</v>
      </c>
      <c r="E8" s="50">
        <v>0.47449200000000002</v>
      </c>
    </row>
    <row r="9" spans="1:6" x14ac:dyDescent="0.2">
      <c r="A9" s="23" t="s">
        <v>31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0">
        <f ca="1">INTERCEPT(INDIRECT($D$9):G991,INDIRECT($C$9):F991)</f>
        <v>-1.0107155315179932E-2</v>
      </c>
      <c r="D11" s="3"/>
      <c r="E11" s="10"/>
    </row>
    <row r="12" spans="1:6" x14ac:dyDescent="0.2">
      <c r="A12" s="10" t="s">
        <v>16</v>
      </c>
      <c r="B12" s="10"/>
      <c r="C12" s="20">
        <f ca="1">SLOPE(INDIRECT($D$9):G991,INDIRECT($C$9):F991)</f>
        <v>3.1409202875378421E-6</v>
      </c>
      <c r="D12" s="3"/>
      <c r="E12" s="41" t="s">
        <v>51</v>
      </c>
      <c r="F12" s="46" t="s">
        <v>55</v>
      </c>
    </row>
    <row r="13" spans="1:6" x14ac:dyDescent="0.2">
      <c r="A13" s="10" t="s">
        <v>18</v>
      </c>
      <c r="B13" s="10"/>
      <c r="C13" s="3" t="s">
        <v>13</v>
      </c>
      <c r="E13" s="39" t="s">
        <v>33</v>
      </c>
      <c r="F13" s="45">
        <v>1</v>
      </c>
    </row>
    <row r="14" spans="1:6" x14ac:dyDescent="0.2">
      <c r="A14" s="10"/>
      <c r="B14" s="10"/>
      <c r="C14" s="10"/>
      <c r="E14" s="39" t="s">
        <v>30</v>
      </c>
      <c r="F14" s="42">
        <f ca="1">NOW()+15018.5+$C$5/24</f>
        <v>60525.793176041661</v>
      </c>
    </row>
    <row r="15" spans="1:6" x14ac:dyDescent="0.2">
      <c r="A15" s="12" t="s">
        <v>17</v>
      </c>
      <c r="B15" s="10"/>
      <c r="C15" s="13">
        <f ca="1">(C7+C11)+(C8+C12)*INT(MAX(F21:F3532))</f>
        <v>58946.047618801014</v>
      </c>
      <c r="E15" s="39" t="s">
        <v>34</v>
      </c>
      <c r="F15" s="42">
        <f ca="1">ROUND(2*($F$14-$C$7)/$C$8,0)/2+$F$13</f>
        <v>18104.5</v>
      </c>
    </row>
    <row r="16" spans="1:6" x14ac:dyDescent="0.2">
      <c r="A16" s="15" t="s">
        <v>4</v>
      </c>
      <c r="B16" s="10"/>
      <c r="C16" s="16">
        <f ca="1">+C8+C12</f>
        <v>0.47450614092028753</v>
      </c>
      <c r="E16" s="39" t="s">
        <v>35</v>
      </c>
      <c r="F16" s="42">
        <f ca="1">ROUND(2*($F$14-$C$15)/$C$16,0)/2+$F$13</f>
        <v>3330</v>
      </c>
    </row>
    <row r="17" spans="1:19" ht="13.5" thickBot="1" x14ac:dyDescent="0.25">
      <c r="A17" s="14" t="s">
        <v>27</v>
      </c>
      <c r="B17" s="10"/>
      <c r="C17" s="10">
        <f>COUNT(C21:C2190)</f>
        <v>5</v>
      </c>
      <c r="E17" s="39" t="s">
        <v>52</v>
      </c>
      <c r="F17" s="43">
        <f ca="1">+$C$15+$C$16*$F$16-15018.5-$C$5/24</f>
        <v>45508.048901398906</v>
      </c>
    </row>
    <row r="18" spans="1:19" ht="14.25" thickTop="1" thickBot="1" x14ac:dyDescent="0.25">
      <c r="A18" s="15" t="s">
        <v>5</v>
      </c>
      <c r="B18" s="10"/>
      <c r="C18" s="18">
        <f ca="1">+C15</f>
        <v>58946.047618801014</v>
      </c>
      <c r="D18" s="19">
        <f ca="1">+C16</f>
        <v>0.47450614092028753</v>
      </c>
      <c r="E18" s="40" t="s">
        <v>53</v>
      </c>
      <c r="F18" s="44">
        <f ca="1">+($C$15+$C$16*$F$16)-($C$16/2)-15018.5-$C$5/24</f>
        <v>45507.811648328447</v>
      </c>
    </row>
    <row r="19" spans="1:19" ht="13.5" thickTop="1" x14ac:dyDescent="0.2">
      <c r="E19" s="14"/>
      <c r="F19" s="17"/>
      <c r="S19">
        <f ca="1">SQRT(SUM(S21:S49)/(COUNT(S21:S49)-1))</f>
        <v>1.0706456473813837E-2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47</v>
      </c>
      <c r="J20" s="7" t="s">
        <v>48</v>
      </c>
      <c r="K20" s="7" t="s">
        <v>49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5" t="s">
        <v>32</v>
      </c>
    </row>
    <row r="21" spans="1:19" x14ac:dyDescent="0.2">
      <c r="A21" s="47" t="s">
        <v>56</v>
      </c>
      <c r="C21" s="8">
        <v>51935.703999999998</v>
      </c>
      <c r="D21" s="8"/>
      <c r="E21">
        <f>+(C21-C$7)/C$8</f>
        <v>0</v>
      </c>
      <c r="F21" s="5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-1.0107155315179932E-2</v>
      </c>
      <c r="Q21" s="2">
        <f>+C21-15018.5</f>
        <v>36917.203999999998</v>
      </c>
    </row>
    <row r="22" spans="1:19" x14ac:dyDescent="0.2">
      <c r="A22" s="31" t="s">
        <v>42</v>
      </c>
      <c r="B22" s="32" t="s">
        <v>43</v>
      </c>
      <c r="C22" s="31">
        <v>55615.954899999997</v>
      </c>
      <c r="D22" s="31">
        <v>5.9999999999999995E-4</v>
      </c>
      <c r="E22">
        <f>+(C22-C$7)/C$8</f>
        <v>7756.0118692610986</v>
      </c>
      <c r="F22" s="51">
        <f t="shared" ref="F22:F25" si="0">ROUND(2*E22,0)/2</f>
        <v>7756</v>
      </c>
      <c r="G22">
        <f>+C22-(C$7+F22*C$8)</f>
        <v>5.6320000003324822E-3</v>
      </c>
      <c r="K22">
        <f>+G22</f>
        <v>5.6320000003324822E-3</v>
      </c>
      <c r="O22">
        <f ca="1">+C$11+C$12*$F22</f>
        <v>1.425382243496357E-2</v>
      </c>
      <c r="Q22" s="2">
        <f>+C22-15018.5</f>
        <v>40597.454899999997</v>
      </c>
      <c r="S22">
        <f ca="1">+(O22-G22)^2</f>
        <v>7.4335822094307938E-5</v>
      </c>
    </row>
    <row r="23" spans="1:19" x14ac:dyDescent="0.2">
      <c r="A23" s="33" t="s">
        <v>44</v>
      </c>
      <c r="B23" s="34" t="s">
        <v>43</v>
      </c>
      <c r="C23" s="33">
        <v>55980.8511</v>
      </c>
      <c r="D23" s="33">
        <v>2.0000000000000001E-4</v>
      </c>
      <c r="E23">
        <f>+(C23-C$7)/C$8</f>
        <v>8525.0190199008266</v>
      </c>
      <c r="F23" s="51">
        <f t="shared" si="0"/>
        <v>8525</v>
      </c>
      <c r="G23">
        <f>+C23-(C$7+F23*C$8)</f>
        <v>9.0249999993829988E-3</v>
      </c>
      <c r="K23">
        <f>+G23</f>
        <v>9.0249999993829988E-3</v>
      </c>
      <c r="O23">
        <f ca="1">+C$11+C$12*$F23</f>
        <v>1.6669190136080168E-2</v>
      </c>
      <c r="Q23" s="2">
        <f>+C23-15018.5</f>
        <v>40962.3511</v>
      </c>
      <c r="S23">
        <f ca="1">+(O23-G23)^2</f>
        <v>5.8433642845978294E-5</v>
      </c>
    </row>
    <row r="24" spans="1:19" x14ac:dyDescent="0.2">
      <c r="A24" s="33" t="s">
        <v>44</v>
      </c>
      <c r="B24" s="34" t="s">
        <v>43</v>
      </c>
      <c r="C24" s="33">
        <v>56048.706400000003</v>
      </c>
      <c r="D24" s="33">
        <v>4.0000000000000002E-4</v>
      </c>
      <c r="E24">
        <f>+(C24-C$7)/C$8</f>
        <v>8668.0219092397838</v>
      </c>
      <c r="F24" s="51">
        <f t="shared" si="0"/>
        <v>8668</v>
      </c>
      <c r="G24">
        <f>+C24-(C$7+F24*C$8)</f>
        <v>1.039600000513019E-2</v>
      </c>
      <c r="K24">
        <f>+G24</f>
        <v>1.039600000513019E-2</v>
      </c>
      <c r="O24">
        <f ca="1">+C$11+C$12*$F24</f>
        <v>1.7118341737198083E-2</v>
      </c>
      <c r="Q24" s="2">
        <f>+C24-15018.5</f>
        <v>41030.206400000003</v>
      </c>
      <c r="S24">
        <f ca="1">+(O24-G24)^2</f>
        <v>4.5189878362701547E-5</v>
      </c>
    </row>
    <row r="25" spans="1:19" x14ac:dyDescent="0.2">
      <c r="A25" s="35" t="s">
        <v>45</v>
      </c>
      <c r="B25" s="36" t="s">
        <v>43</v>
      </c>
      <c r="C25" s="37">
        <v>58946.0605</v>
      </c>
      <c r="D25" s="37" t="s">
        <v>46</v>
      </c>
      <c r="E25">
        <f>+(C25-C$7)/C$8</f>
        <v>14774.103641072874</v>
      </c>
      <c r="F25" s="51">
        <f t="shared" si="0"/>
        <v>14774</v>
      </c>
      <c r="G25">
        <f>+C25-(C$7+F25*C$8)</f>
        <v>4.9178000001120381E-2</v>
      </c>
      <c r="K25">
        <f>+G25</f>
        <v>4.9178000001120381E-2</v>
      </c>
      <c r="O25">
        <f ca="1">+C$11+C$12*$F25</f>
        <v>3.6296801012904147E-2</v>
      </c>
      <c r="Q25" s="2">
        <f>+C25-15018.5</f>
        <v>43927.5605</v>
      </c>
      <c r="S25">
        <f ca="1">+(O25-G25)^2</f>
        <v>1.6592528737402294E-4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rotectedRanges>
    <protectedRange sqref="A24:D24" name="Range1"/>
  </protectedRanges>
  <sortState xmlns:xlrd2="http://schemas.microsoft.com/office/spreadsheetml/2017/richdata2" ref="A21:U29">
    <sortCondition ref="C21:C29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2024-08-03T07:02:10Z</dcterms:modified>
</cp:coreProperties>
</file>