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6D315B-A560-456B-A21B-2C6DD9711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C17" i="1"/>
  <c r="Q21" i="1"/>
  <c r="G21" i="1"/>
  <c r="H21" i="1"/>
  <c r="C11" i="1"/>
  <c r="F15" i="1" l="1"/>
  <c r="C12" i="1"/>
  <c r="O21" i="1" l="1"/>
  <c r="S21" i="1" s="1"/>
  <c r="C15" i="1"/>
  <c r="O24" i="1"/>
  <c r="S24" i="1" s="1"/>
  <c r="C16" i="1"/>
  <c r="D18" i="1" s="1"/>
  <c r="O23" i="1"/>
  <c r="S23" i="1" s="1"/>
  <c r="O22" i="1"/>
  <c r="S22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<sst xmlns="http://schemas.openxmlformats.org/spreadsheetml/2006/main" count="58" uniqueCount="52">
  <si>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</si>
  <si>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</si>
  <si>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</si>
  <si>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</si>
  <si>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</si>
  <si>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</si>
  <si>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</si>
  <si>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</si>
  <si>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</si>
  <si>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</si>
  <si>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</si>
  <si>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</si>
  <si>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</si>
  <si>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</si>
  <si>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</si>
  <si>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</si>
  <si>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</si>
  <si>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</si>
  <si>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</si>
  <si>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</si>
  <si>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</si>
  <si>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</si>
  <si>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</si>
  <si>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</si>
  <si>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</si>
  <si>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</si>
  <si>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</si>
  <si>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</si>
  <si>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</si>
  <si>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</si>
  <si>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</si>
  <si>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</si>
  <si>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</si>
  <si>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</si>
  <si>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</si>
  <si>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</si>
  <si>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</si>
  <si>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</si>
  <si>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G6094-1317</t>
  </si>
  <si>
    <t>Crv</t>
  </si>
  <si>
    <t>VSX</t>
  </si>
  <si>
    <t>IBVS 5992</t>
  </si>
  <si>
    <t>I</t>
  </si>
  <si>
    <t>IBVS 6029</t>
  </si>
  <si>
    <t>ASAS J120408-1538.3 / GSC 6094-1317</t>
  </si>
  <si>
    <t>CCD</t>
  </si>
  <si>
    <t xml:space="preserve">Mag </t>
  </si>
  <si>
    <t>Next ToM-P</t>
  </si>
  <si>
    <t>Next ToM-S</t>
  </si>
  <si>
    <t>11.27 (0.48)</t>
  </si>
  <si>
    <t>ESD / ED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</si>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</sst>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6094-1317 -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35-4EE9-B7F0-172A74AB90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2.6006999833043665E-2</c:v>
                </c:pt>
                <c:pt idx="2">
                  <c:v>2.896499983035028E-2</c:v>
                </c:pt>
                <c:pt idx="3">
                  <c:v>2.9662999833817594E-2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35-4EE9-B7F0-172A74AB90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35-4EE9-B7F0-172A74AB90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35-4EE9-B7F0-172A74AB90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35-4EE9-B7F0-172A74AB90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35-4EE9-B7F0-172A74AB90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35-4EE9-B7F0-172A74AB90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-4.0434189372572094E-5</c:v>
                </c:pt>
                <c:pt idx="1">
                  <c:v>2.6441725704846392E-2</c:v>
                </c:pt>
                <c:pt idx="2">
                  <c:v>2.8792526313887633E-2</c:v>
                </c:pt>
                <c:pt idx="3">
                  <c:v>2.9441181667850088E-2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35-4EE9-B7F0-172A74AB90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5756.5</c:v>
                </c:pt>
                <c:pt idx="2">
                  <c:v>6267.5</c:v>
                </c:pt>
                <c:pt idx="3">
                  <c:v>6408.5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35-4EE9-B7F0-172A74AB9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083360"/>
        <c:axId val="1"/>
      </c:scatterChart>
      <c:valAx>
        <c:axId val="57808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083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55F02A-6B37-8EF5-82F2-00D491139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I33" sqref="I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s="44" t="s">
        <v>50</v>
      </c>
      <c r="C2" s="28"/>
      <c r="D2" s="3" t="s">
        <v>39</v>
      </c>
      <c r="E2" s="29" t="s">
        <v>38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51873.430000000168</v>
      </c>
      <c r="D7" s="27" t="s">
        <v>40</v>
      </c>
    </row>
    <row r="8" spans="1:7" x14ac:dyDescent="0.2">
      <c r="A8" t="s">
        <v>3</v>
      </c>
      <c r="C8" s="34">
        <v>0.65152200000000005</v>
      </c>
      <c r="D8" s="27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-4.0434189372572094E-5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4.6003925812940095E-6</v>
      </c>
      <c r="D12" s="3"/>
      <c r="E12" s="38" t="s">
        <v>46</v>
      </c>
      <c r="F12" s="41" t="s">
        <v>49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40">
        <v>1</v>
      </c>
    </row>
    <row r="14" spans="1:7" x14ac:dyDescent="0.2">
      <c r="A14" s="10"/>
      <c r="B14" s="10"/>
      <c r="C14" s="10"/>
      <c r="D14" s="14"/>
      <c r="E14" s="35" t="s">
        <v>31</v>
      </c>
      <c r="F14" s="39">
        <f ca="1">NOW()+15018.5+$C$9/24</f>
        <v>60525.796693749995</v>
      </c>
    </row>
    <row r="15" spans="1:7" x14ac:dyDescent="0.2">
      <c r="A15" s="12" t="s">
        <v>17</v>
      </c>
      <c r="B15" s="10"/>
      <c r="C15" s="13">
        <f ca="1">(C7+C11)+(C8+C12)*INT(MAX(F21:F3533))</f>
        <v>56048.412414881634</v>
      </c>
      <c r="D15" s="14"/>
      <c r="E15" s="35" t="s">
        <v>35</v>
      </c>
      <c r="F15" s="39">
        <f ca="1">ROUND(2*($F$14-$C$7)/$C$8,0)/2+$F$13</f>
        <v>13281</v>
      </c>
    </row>
    <row r="16" spans="1:7" x14ac:dyDescent="0.2">
      <c r="A16" s="15" t="s">
        <v>4</v>
      </c>
      <c r="B16" s="10"/>
      <c r="C16" s="16">
        <f ca="1">+C8+C12</f>
        <v>0.65152660039258137</v>
      </c>
      <c r="D16" s="14"/>
      <c r="E16" s="35" t="s">
        <v>36</v>
      </c>
      <c r="F16" s="39">
        <f ca="1">ROUND(2*($F$14-$C$15)/$C$16,0)/2+$F$13</f>
        <v>6873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36" t="s">
        <v>47</v>
      </c>
      <c r="F17" s="42">
        <f ca="1">+$C$15+$C$16*$F$16-15018.5-$C$9/24</f>
        <v>45508.250572713179</v>
      </c>
    </row>
    <row r="18" spans="1:19" ht="14.25" thickTop="1" thickBot="1" x14ac:dyDescent="0.25">
      <c r="A18" s="15" t="s">
        <v>5</v>
      </c>
      <c r="B18" s="10"/>
      <c r="C18" s="17">
        <f ca="1">+C15</f>
        <v>56048.412414881634</v>
      </c>
      <c r="D18" s="18">
        <f ca="1">+C16</f>
        <v>0.65152660039258137</v>
      </c>
      <c r="E18" s="37" t="s">
        <v>48</v>
      </c>
      <c r="F18" s="43">
        <f ca="1">+($C$15+$C$16*$F$16)-($C$16/2)-15018.5-$C$9/24</f>
        <v>45507.92480941298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2.9976208339227808E-4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51873.430000000168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-4.0434189372572094E-5</v>
      </c>
      <c r="Q21" s="2">
        <f>+C21-15018.5</f>
        <v>36854.930000000168</v>
      </c>
      <c r="S21">
        <f ca="1">+(O21-G21)^2</f>
        <v>1.634923670217022E-9</v>
      </c>
    </row>
    <row r="22" spans="1:19" x14ac:dyDescent="0.2">
      <c r="A22" s="30" t="s">
        <v>41</v>
      </c>
      <c r="B22" s="31" t="s">
        <v>42</v>
      </c>
      <c r="C22" s="30">
        <v>55623.9424</v>
      </c>
      <c r="D22" s="30">
        <v>2.9999999999999997E-4</v>
      </c>
      <c r="E22">
        <f>+(C22-C$7)/C$8</f>
        <v>5756.5399173010765</v>
      </c>
      <c r="F22">
        <f>ROUND(2*E22,0)/2</f>
        <v>5756.5</v>
      </c>
      <c r="G22">
        <f>+C22-(C$7+F22*C$8)</f>
        <v>2.6006999833043665E-2</v>
      </c>
      <c r="I22">
        <f>+G22</f>
        <v>2.6006999833043665E-2</v>
      </c>
      <c r="O22">
        <f ca="1">+C$11+C$12*$F22</f>
        <v>2.6441725704846392E-2</v>
      </c>
      <c r="Q22" s="2">
        <f>+C22-15018.5</f>
        <v>40605.4424</v>
      </c>
      <c r="S22">
        <f ca="1">+(O22-G22)^2</f>
        <v>1.8898658361464156E-7</v>
      </c>
    </row>
    <row r="23" spans="1:19" x14ac:dyDescent="0.2">
      <c r="A23" s="32" t="s">
        <v>43</v>
      </c>
      <c r="B23" s="33" t="s">
        <v>42</v>
      </c>
      <c r="C23" s="32">
        <v>55956.873099999997</v>
      </c>
      <c r="D23" s="32">
        <v>5.0000000000000001E-4</v>
      </c>
      <c r="E23">
        <f>+(C23-C$7)/C$8</f>
        <v>6267.5444574393941</v>
      </c>
      <c r="F23">
        <f>ROUND(2*E23,0)/2</f>
        <v>6267.5</v>
      </c>
      <c r="G23">
        <f>+C23-(C$7+F23*C$8)</f>
        <v>2.896499983035028E-2</v>
      </c>
      <c r="I23">
        <f>+G23</f>
        <v>2.896499983035028E-2</v>
      </c>
      <c r="O23">
        <f ca="1">+C$11+C$12*$F23</f>
        <v>2.8792526313887633E-2</v>
      </c>
      <c r="Q23" s="2">
        <f>+C23-15018.5</f>
        <v>40938.373099999997</v>
      </c>
      <c r="S23">
        <f ca="1">+(O23-G23)^2</f>
        <v>2.9747113880990734E-8</v>
      </c>
    </row>
    <row r="24" spans="1:19" x14ac:dyDescent="0.2">
      <c r="A24" s="32" t="s">
        <v>43</v>
      </c>
      <c r="B24" s="33" t="s">
        <v>42</v>
      </c>
      <c r="C24" s="32">
        <v>56048.738400000002</v>
      </c>
      <c r="D24" s="32">
        <v>5.9999999999999995E-4</v>
      </c>
      <c r="E24">
        <f>+(C24-C$7)/C$8</f>
        <v>6408.5455287769773</v>
      </c>
      <c r="F24">
        <f>ROUND(2*E24,0)/2</f>
        <v>6408.5</v>
      </c>
      <c r="G24">
        <f>+C24-(C$7+F24*C$8)</f>
        <v>2.9662999833817594E-2</v>
      </c>
      <c r="I24">
        <f>+G24</f>
        <v>2.9662999833817594E-2</v>
      </c>
      <c r="O24">
        <f ca="1">+C$11+C$12*$F24</f>
        <v>2.9441181667850088E-2</v>
      </c>
      <c r="Q24" s="2">
        <f>+C24-15018.5</f>
        <v>41030.238400000002</v>
      </c>
      <c r="S24">
        <f ca="1">+(O24-G24)^2</f>
        <v>4.9203298753187913E-8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2024-08-03T07:07:14Z</dcterms:modified>
</cp:coreProperties>
</file>