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A5BDD76-99BB-418A-9D6A-24E9C9A3A3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F14" i="1"/>
  <c r="Q22" i="1"/>
  <c r="R22" i="1"/>
  <c r="G11" i="1"/>
  <c r="F11" i="1"/>
  <c r="E22" i="1"/>
  <c r="F22" i="1" s="1"/>
  <c r="G22" i="1" s="1"/>
  <c r="H22" i="1" s="1"/>
  <c r="C17" i="1"/>
  <c r="Q21" i="1"/>
  <c r="E21" i="1" l="1"/>
  <c r="F21" i="1" s="1"/>
  <c r="G21" i="1" s="1"/>
  <c r="F15" i="1"/>
  <c r="C12" i="1"/>
  <c r="C11" i="1"/>
  <c r="O23" i="1" l="1"/>
  <c r="C16" i="1"/>
  <c r="D18" i="1" s="1"/>
  <c r="H21" i="1"/>
  <c r="C15" i="1"/>
  <c r="O21" i="1"/>
  <c r="O22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<sst xmlns="http://schemas.openxmlformats.org/spreadsheetml/2006/main" count="60" uniqueCount="51">
  <si>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</si>
  <si>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</si>
  <si>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</si>
  <si>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</si>
  <si>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</si>
  <si>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</si>
  <si>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</si>
  <si>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</si>
  <si>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</si>
  <si>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</si>
  <si>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</si>
  <si>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</si>
  <si>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</si>
  <si>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</si>
  <si>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</si>
  <si>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</si>
  <si>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</si>
  <si>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</si>
  <si>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</si>
  <si>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</si>
  <si>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</si>
  <si>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</si>
  <si>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</si>
  <si>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</si>
  <si>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</si>
  <si>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</si>
  <si>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</si>
  <si>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</si>
  <si>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</si>
  <si>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</si>
  <si>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</si>
  <si>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</si>
  <si>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</si>
  <si>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G6110-0930_Crv.xls</t>
  </si>
  <si>
    <t>EA</t>
  </si>
  <si>
    <t>IBVS 5557 Eph.</t>
  </si>
  <si>
    <t>IBVS 5557</t>
  </si>
  <si>
    <t>Crv</t>
  </si>
  <si>
    <t>Locher 2005</t>
  </si>
  <si>
    <t>I</t>
  </si>
  <si>
    <t>WZ Crv / NSV 05914 / GSC 6110-0930</t>
  </si>
  <si>
    <t>CCD</t>
  </si>
  <si>
    <t xml:space="preserve">Mag </t>
  </si>
  <si>
    <t>Add cycle</t>
  </si>
  <si>
    <t>Old Cycle</t>
  </si>
  <si>
    <t>Next ToM-P</t>
  </si>
  <si>
    <t>Next ToM-S</t>
  </si>
  <si>
    <t>12.76-14.70</t>
  </si>
  <si>
    <t>VSX</t>
  </si>
  <si>
    <t>CCD?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</si>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</sst>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1" applyNumberFormat="0" applyFont="0" applyFill="0" applyAlignment="0" applyProtection="0"/>
  </cellStyleXfs>
  <cellXfs count="41">
    <xf numFmtId="0" fontId="0" fillId="0" borderId="0" xfId="0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9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/>
    <xf numFmtId="0" fontId="14" fillId="0" borderId="7" xfId="0" applyFont="1" applyBorder="1" applyAlignment="1">
      <alignment horizontal="right" vertical="center"/>
    </xf>
    <xf numFmtId="22" fontId="14" fillId="0" borderId="7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2" fillId="2" borderId="6" xfId="0" applyFont="1" applyFill="1" applyBorder="1" applyAlignment="1">
      <alignment horizontal="center" vertical="center"/>
    </xf>
    <xf numFmtId="22" fontId="15" fillId="0" borderId="8" xfId="0" applyNumberFormat="1" applyFont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0" fontId="12" fillId="0" borderId="0" xfId="0" applyFont="1" applyAlignment="1"/>
    <xf numFmtId="0" fontId="0" fillId="0" borderId="2" xfId="0" applyBorder="1" applyAlignment="1"/>
    <xf numFmtId="0" fontId="17" fillId="0" borderId="2" xfId="0" applyFont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Crv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-1827</c:v>
                </c:pt>
                <c:pt idx="1">
                  <c:v>-1070</c:v>
                </c:pt>
                <c:pt idx="2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-2.1324000001186505E-2</c:v>
                </c:pt>
                <c:pt idx="1">
                  <c:v>-3.8840000001073349E-2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65-4692-8243-BA88561D71A2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-1827</c:v>
                </c:pt>
                <c:pt idx="1">
                  <c:v>-1070</c:v>
                </c:pt>
                <c:pt idx="2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65-4692-8243-BA88561D71A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-1827</c:v>
                </c:pt>
                <c:pt idx="1">
                  <c:v>-1070</c:v>
                </c:pt>
                <c:pt idx="2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65-4692-8243-BA88561D71A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-1827</c:v>
                </c:pt>
                <c:pt idx="1">
                  <c:v>-1070</c:v>
                </c:pt>
                <c:pt idx="2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65-4692-8243-BA88561D71A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-1827</c:v>
                </c:pt>
                <c:pt idx="1">
                  <c:v>-1070</c:v>
                </c:pt>
                <c:pt idx="2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65-4692-8243-BA88561D71A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-1827</c:v>
                </c:pt>
                <c:pt idx="1">
                  <c:v>-1070</c:v>
                </c:pt>
                <c:pt idx="2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65-4692-8243-BA88561D71A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-1827</c:v>
                </c:pt>
                <c:pt idx="1">
                  <c:v>-1070</c:v>
                </c:pt>
                <c:pt idx="2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65-4692-8243-BA88561D71A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-1827</c:v>
                </c:pt>
                <c:pt idx="1">
                  <c:v>-1070</c:v>
                </c:pt>
                <c:pt idx="2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-3.1512948389723544E-2</c:v>
                </c:pt>
                <c:pt idx="1">
                  <c:v>-2.1442608687188149E-2</c:v>
                </c:pt>
                <c:pt idx="2">
                  <c:v>-7.2084429253481633E-3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65-4692-8243-BA88561D71A2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Active!$F$21:$F$999</c:f>
              <c:numCache>
                <c:formatCode>General</c:formatCode>
                <c:ptCount val="979"/>
                <c:pt idx="0">
                  <c:v>-1827</c:v>
                </c:pt>
                <c:pt idx="1">
                  <c:v>-1070</c:v>
                </c:pt>
                <c:pt idx="2">
                  <c:v>0</c:v>
                </c:pt>
              </c:numCache>
            </c:numRef>
          </c:xVal>
          <c:yVal>
            <c:numRef>
              <c:f>Active!$P$21:$P$999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F8-41BA-AA5E-95A37B8FFCFC}"/>
            </c:ext>
          </c:extLst>
        </c:ser>
        <c:ser>
          <c:idx val="13"/>
          <c:order val="13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Active!$F$21:$F$999</c:f>
              <c:numCache>
                <c:formatCode>General</c:formatCode>
                <c:ptCount val="979"/>
                <c:pt idx="0">
                  <c:v>-1827</c:v>
                </c:pt>
                <c:pt idx="1">
                  <c:v>-1070</c:v>
                </c:pt>
                <c:pt idx="2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F8-41BA-AA5E-95A37B8FF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049424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-1827</c:v>
                      </c:pt>
                      <c:pt idx="1">
                        <c:v>-1070</c:v>
                      </c:pt>
                      <c:pt idx="2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Active!$Q$21:$Q$999</c15:sqref>
                        </c15:formulaRef>
                      </c:ext>
                    </c:extLst>
                    <c:numCache>
                      <c:formatCode>m/d/yyyy</c:formatCode>
                      <c:ptCount val="979"/>
                      <c:pt idx="0">
                        <c:v>37067.998</c:v>
                      </c:pt>
                      <c:pt idx="1">
                        <c:v>38422.093000000001</c:v>
                      </c:pt>
                      <c:pt idx="2">
                        <c:v>40336.135000000002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D3F8-41BA-AA5E-95A37B8FFCFC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-1827</c:v>
                      </c:pt>
                      <c:pt idx="1">
                        <c:v>-1070</c:v>
                      </c:pt>
                      <c:pt idx="2">
                        <c:v>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Active!$R$21:$R$999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1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D3F8-41BA-AA5E-95A37B8FFCFC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-1827</c:v>
                      </c:pt>
                      <c:pt idx="1">
                        <c:v>-1070</c:v>
                      </c:pt>
                      <c:pt idx="2">
                        <c:v>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Active!$S$21:$S$999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D3F8-41BA-AA5E-95A37B8FFCFC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Active!$T$20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-1827</c:v>
                      </c:pt>
                      <c:pt idx="1">
                        <c:v>-1070</c:v>
                      </c:pt>
                      <c:pt idx="2">
                        <c:v>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Active!$T$21:$T$999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D3F8-41BA-AA5E-95A37B8FFCFC}"/>
                  </c:ext>
                </c:extLst>
              </c15:ser>
            </c15:filteredScatterSeries>
          </c:ext>
        </c:extLst>
      </c:scatterChart>
      <c:valAx>
        <c:axId val="584049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4049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75366568914952"/>
          <c:w val="0.75789473684210529"/>
          <c:h val="5.52600426412974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9525</xdr:rowOff>
    </xdr:from>
    <xdr:to>
      <xdr:col>17</xdr:col>
      <xdr:colOff>180975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CE4FAD5-CD09-D269-A3AA-AB56E3BA1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57031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28" t="s">
        <v>40</v>
      </c>
      <c r="E1" s="26"/>
      <c r="F1" s="26" t="s">
        <v>33</v>
      </c>
      <c r="G1" s="27" t="s">
        <v>34</v>
      </c>
      <c r="H1" s="26" t="s">
        <v>35</v>
      </c>
      <c r="I1" s="27">
        <v>52086.498</v>
      </c>
      <c r="J1" s="27">
        <v>1.78878</v>
      </c>
      <c r="K1" s="27" t="s">
        <v>36</v>
      </c>
      <c r="L1" s="27" t="s">
        <v>37</v>
      </c>
    </row>
    <row r="2" spans="1:12" x14ac:dyDescent="0.2">
      <c r="A2" t="s">
        <v>22</v>
      </c>
      <c r="B2" t="s">
        <v>34</v>
      </c>
      <c r="C2" s="8" t="s">
        <v>37</v>
      </c>
      <c r="D2" t="s">
        <v>33</v>
      </c>
    </row>
    <row r="3" spans="1:12" ht="13.5" thickBot="1" x14ac:dyDescent="0.25"/>
    <row r="4" spans="1:12" ht="14.25" thickTop="1" thickBot="1" x14ac:dyDescent="0.25">
      <c r="A4" s="25" t="s">
        <v>35</v>
      </c>
      <c r="C4" s="6">
        <v>52086.498</v>
      </c>
      <c r="D4" s="7">
        <v>1.78878</v>
      </c>
    </row>
    <row r="6" spans="1:12" x14ac:dyDescent="0.2">
      <c r="A6" s="3" t="s">
        <v>0</v>
      </c>
    </row>
    <row r="7" spans="1:12" x14ac:dyDescent="0.2">
      <c r="A7" t="s">
        <v>1</v>
      </c>
      <c r="C7">
        <v>55354.635000000002</v>
      </c>
      <c r="D7" s="38" t="s">
        <v>48</v>
      </c>
    </row>
    <row r="8" spans="1:12" x14ac:dyDescent="0.2">
      <c r="A8" t="s">
        <v>2</v>
      </c>
      <c r="C8">
        <v>1.788788</v>
      </c>
      <c r="D8" s="38" t="s">
        <v>48</v>
      </c>
    </row>
    <row r="9" spans="1:12" x14ac:dyDescent="0.2">
      <c r="A9" s="9" t="s">
        <v>28</v>
      </c>
      <c r="B9" s="10"/>
      <c r="C9" s="11">
        <v>-9.5</v>
      </c>
      <c r="D9" s="10" t="s">
        <v>29</v>
      </c>
      <c r="E9" s="10"/>
    </row>
    <row r="10" spans="1:12" ht="13.5" thickBot="1" x14ac:dyDescent="0.25">
      <c r="A10" s="10"/>
      <c r="B10" s="10"/>
      <c r="C10" s="2" t="s">
        <v>18</v>
      </c>
      <c r="D10" s="2" t="s">
        <v>19</v>
      </c>
      <c r="E10" s="10"/>
    </row>
    <row r="11" spans="1:12" x14ac:dyDescent="0.2">
      <c r="A11" s="10" t="s">
        <v>14</v>
      </c>
      <c r="B11" s="10"/>
      <c r="C11" s="20">
        <f ca="1">INTERCEPT(INDIRECT($G$11):G992,INDIRECT($F$11):F992)</f>
        <v>-7.2084429253481633E-3</v>
      </c>
      <c r="D11" s="12"/>
      <c r="E11" s="10"/>
      <c r="F11" s="21" t="str">
        <f>"F"&amp;E19</f>
        <v>F21</v>
      </c>
      <c r="G11" s="22" t="str">
        <f>"G"&amp;E19</f>
        <v>G21</v>
      </c>
    </row>
    <row r="12" spans="1:12" x14ac:dyDescent="0.2">
      <c r="A12" s="10" t="s">
        <v>15</v>
      </c>
      <c r="B12" s="10"/>
      <c r="C12" s="20">
        <f ca="1">SLOPE(INDIRECT($G$11):G992,INDIRECT($F$11):F992)</f>
        <v>1.3302958655925221E-5</v>
      </c>
      <c r="D12" s="12"/>
      <c r="E12" s="32" t="s">
        <v>42</v>
      </c>
      <c r="F12" s="35" t="s">
        <v>47</v>
      </c>
    </row>
    <row r="13" spans="1:12" x14ac:dyDescent="0.2">
      <c r="A13" s="10" t="s">
        <v>17</v>
      </c>
      <c r="B13" s="10"/>
      <c r="C13" s="12" t="s">
        <v>12</v>
      </c>
      <c r="D13" s="12"/>
      <c r="E13" s="29" t="s">
        <v>43</v>
      </c>
      <c r="F13" s="34">
        <v>1</v>
      </c>
    </row>
    <row r="14" spans="1:12" x14ac:dyDescent="0.2">
      <c r="A14" s="10"/>
      <c r="B14" s="10"/>
      <c r="C14" s="10"/>
      <c r="D14" s="10"/>
      <c r="E14" s="29" t="s">
        <v>30</v>
      </c>
      <c r="F14" s="33">
        <f ca="1">NOW()+15018.5+$C$9/24</f>
        <v>60525.822072569441</v>
      </c>
    </row>
    <row r="15" spans="1:12" x14ac:dyDescent="0.2">
      <c r="A15" s="13" t="s">
        <v>16</v>
      </c>
      <c r="B15" s="10"/>
      <c r="C15" s="14">
        <f ca="1">(C7+C11)+(C8+C12)*INT(MAX(F21:F3533))</f>
        <v>55354.627791557075</v>
      </c>
      <c r="D15" s="15"/>
      <c r="E15" s="29" t="s">
        <v>44</v>
      </c>
      <c r="F15" s="33">
        <f ca="1">ROUND(2*($F$14-$C$7)/$C$8,0)/2+$F$13</f>
        <v>2892</v>
      </c>
    </row>
    <row r="16" spans="1:12" x14ac:dyDescent="0.2">
      <c r="A16" s="16" t="s">
        <v>3</v>
      </c>
      <c r="B16" s="10"/>
      <c r="C16" s="17">
        <f ca="1">+C8+C12</f>
        <v>1.788801302958656</v>
      </c>
      <c r="D16" s="15"/>
      <c r="E16" s="29" t="s">
        <v>31</v>
      </c>
      <c r="F16" s="33">
        <f ca="1">ROUND(2*($F$14-$C$15)/$C$16,0)/2+$F$13</f>
        <v>2892</v>
      </c>
    </row>
    <row r="17" spans="1:21" ht="13.5" thickBot="1" x14ac:dyDescent="0.25">
      <c r="A17" s="15" t="s">
        <v>27</v>
      </c>
      <c r="B17" s="10"/>
      <c r="C17" s="10">
        <f>COUNT(C21:C2191)</f>
        <v>3</v>
      </c>
      <c r="D17" s="15"/>
      <c r="E17" s="30" t="s">
        <v>45</v>
      </c>
      <c r="F17" s="36">
        <f ca="1">+$C$15+$C$16*$F$16-15018.5-$C$9/24</f>
        <v>45509.736993046841</v>
      </c>
    </row>
    <row r="18" spans="1:21" ht="14.25" thickTop="1" thickBot="1" x14ac:dyDescent="0.25">
      <c r="A18" s="16" t="s">
        <v>4</v>
      </c>
      <c r="B18" s="10"/>
      <c r="C18" s="18">
        <f ca="1">+C15</f>
        <v>55354.627791557075</v>
      </c>
      <c r="D18" s="19">
        <f ca="1">+C16</f>
        <v>1.788801302958656</v>
      </c>
      <c r="E18" s="31" t="s">
        <v>46</v>
      </c>
      <c r="F18" s="37">
        <f ca="1">+($C$15+$C$16*$F$16)-($C$16/2)-15018.5-$C$9/24</f>
        <v>45508.842592395362</v>
      </c>
    </row>
    <row r="19" spans="1:21" ht="13.5" thickTop="1" x14ac:dyDescent="0.2">
      <c r="A19" s="23" t="s">
        <v>32</v>
      </c>
      <c r="E19" s="24">
        <v>21</v>
      </c>
    </row>
    <row r="20" spans="1:21" ht="13.5" thickBot="1" x14ac:dyDescent="0.25">
      <c r="A20" s="2" t="s">
        <v>5</v>
      </c>
      <c r="B20" s="2" t="s">
        <v>6</v>
      </c>
      <c r="C20" s="2" t="s">
        <v>7</v>
      </c>
      <c r="D20" s="2" t="s">
        <v>11</v>
      </c>
      <c r="E20" s="2" t="s">
        <v>8</v>
      </c>
      <c r="F20" s="2" t="s">
        <v>9</v>
      </c>
      <c r="G20" s="2" t="s">
        <v>10</v>
      </c>
      <c r="H20" s="5" t="s">
        <v>49</v>
      </c>
      <c r="I20" s="5" t="s">
        <v>48</v>
      </c>
      <c r="J20" s="5" t="s">
        <v>41</v>
      </c>
      <c r="K20" s="5" t="s">
        <v>23</v>
      </c>
      <c r="L20" s="5" t="s">
        <v>24</v>
      </c>
      <c r="M20" s="5" t="s">
        <v>25</v>
      </c>
      <c r="N20" s="5" t="s">
        <v>26</v>
      </c>
      <c r="O20" s="5" t="s">
        <v>21</v>
      </c>
      <c r="P20" s="4" t="s">
        <v>20</v>
      </c>
      <c r="Q20" s="2" t="s">
        <v>13</v>
      </c>
      <c r="R20" s="39"/>
      <c r="S20" s="39"/>
      <c r="T20" s="39"/>
      <c r="U20" s="40" t="s">
        <v>50</v>
      </c>
    </row>
    <row r="21" spans="1:21" x14ac:dyDescent="0.2">
      <c r="A21" t="s">
        <v>36</v>
      </c>
      <c r="C21" s="8">
        <v>52086.498</v>
      </c>
      <c r="D21" s="8" t="s">
        <v>12</v>
      </c>
      <c r="E21">
        <f>+(C21-C$7)/C$8</f>
        <v>-1827.0119209207589</v>
      </c>
      <c r="F21">
        <f>ROUND(2*E21,0)/2</f>
        <v>-1827</v>
      </c>
      <c r="G21">
        <f>+C21-(C$7+F21*C$8)</f>
        <v>-2.1324000001186505E-2</v>
      </c>
      <c r="H21">
        <f>+G21</f>
        <v>-2.1324000001186505E-2</v>
      </c>
      <c r="O21">
        <f ca="1">+C$11+C$12*$F21</f>
        <v>-3.1512948389723544E-2</v>
      </c>
      <c r="Q21" s="1">
        <f>+C21-15018.5</f>
        <v>37067.998</v>
      </c>
    </row>
    <row r="22" spans="1:21" x14ac:dyDescent="0.2">
      <c r="A22" t="s">
        <v>38</v>
      </c>
      <c r="B22" s="12" t="s">
        <v>39</v>
      </c>
      <c r="C22" s="8">
        <v>53440.593000000001</v>
      </c>
      <c r="D22" s="8">
        <v>8.0000000000000002E-3</v>
      </c>
      <c r="E22">
        <f>+(C22-C$7)/C$8</f>
        <v>-1070.0217130258036</v>
      </c>
      <c r="F22">
        <f>ROUND(2*E22,0)/2</f>
        <v>-1070</v>
      </c>
      <c r="G22">
        <f>+C22-(C$7+F22*C$8)</f>
        <v>-3.8840000001073349E-2</v>
      </c>
      <c r="H22">
        <f>+G22</f>
        <v>-3.8840000001073349E-2</v>
      </c>
      <c r="O22">
        <f ca="1">+C$11+C$12*$F22</f>
        <v>-2.1442608687188149E-2</v>
      </c>
      <c r="Q22" s="1">
        <f>+C22-15018.5</f>
        <v>38422.093000000001</v>
      </c>
      <c r="R22" t="str">
        <f>IF(ABS(C22-C21)&lt;0.00001,1,"")</f>
        <v/>
      </c>
    </row>
    <row r="23" spans="1:21" x14ac:dyDescent="0.2">
      <c r="A23" s="38" t="s">
        <v>48</v>
      </c>
      <c r="C23" s="8">
        <v>55354.635000000002</v>
      </c>
      <c r="D23" s="8"/>
      <c r="E23">
        <f>+(C23-C$7)/C$8</f>
        <v>0</v>
      </c>
      <c r="F23">
        <f>ROUND(2*E23,0)/2</f>
        <v>0</v>
      </c>
      <c r="G23">
        <f>+C23-(C$7+F23*C$8)</f>
        <v>0</v>
      </c>
      <c r="I23">
        <f>+G23</f>
        <v>0</v>
      </c>
      <c r="O23">
        <f ca="1">+C$11+C$12*$F23</f>
        <v>-7.2084429253481633E-3</v>
      </c>
      <c r="Q23" s="1">
        <f>+C23-15018.5</f>
        <v>40336.135000000002</v>
      </c>
    </row>
    <row r="24" spans="1:21" x14ac:dyDescent="0.2">
      <c r="Q24" s="1"/>
    </row>
    <row r="25" spans="1:21" x14ac:dyDescent="0.2">
      <c r="C25" s="8"/>
      <c r="D25" s="8"/>
      <c r="Q25" s="1"/>
    </row>
    <row r="26" spans="1:21" x14ac:dyDescent="0.2">
      <c r="C26" s="8"/>
      <c r="D26" s="8"/>
      <c r="Q26" s="1"/>
    </row>
    <row r="27" spans="1:21" x14ac:dyDescent="0.2">
      <c r="C27" s="8"/>
      <c r="D27" s="8"/>
      <c r="Q27" s="1"/>
    </row>
    <row r="28" spans="1:21" x14ac:dyDescent="0.2">
      <c r="C28" s="8"/>
      <c r="D28" s="8"/>
      <c r="Q28" s="1"/>
    </row>
    <row r="29" spans="1:21" x14ac:dyDescent="0.2">
      <c r="C29" s="8"/>
      <c r="D29" s="8"/>
      <c r="Q29" s="1"/>
    </row>
    <row r="30" spans="1:21" x14ac:dyDescent="0.2">
      <c r="C30" s="8"/>
      <c r="D30" s="8"/>
      <c r="Q30" s="1"/>
    </row>
    <row r="31" spans="1:21" x14ac:dyDescent="0.2">
      <c r="C31" s="8"/>
      <c r="D31" s="8"/>
      <c r="Q31" s="1"/>
    </row>
    <row r="32" spans="1:21" x14ac:dyDescent="0.2">
      <c r="C32" s="8"/>
      <c r="D32" s="8"/>
      <c r="Q32" s="1"/>
    </row>
    <row r="33" spans="3:17" x14ac:dyDescent="0.2">
      <c r="C33" s="8"/>
      <c r="D33" s="8"/>
      <c r="Q33" s="1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X25">
    <sortCondition ref="C21:C25"/>
  </sortState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2024-08-03T07:43:47Z</dcterms:modified>
</cp:coreProperties>
</file>