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45EE58-7FF6-4C0B-902D-89A6BB034C9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4" r:id="rId1"/>
    <sheet name="A (old)" sheetId="1" r:id="rId2"/>
    <sheet name="B" sheetId="2" r:id="rId3"/>
    <sheet name="BAV" sheetId="5" r:id="rId4"/>
    <sheet name="C" sheetId="3" r:id="rId5"/>
  </sheets>
  <calcPr calcId="181029"/>
</workbook>
</file>

<file path=xl/calcChain.xml><?xml version="1.0" encoding="utf-8"?>
<calcChain xmlns="http://schemas.openxmlformats.org/spreadsheetml/2006/main">
  <c r="D9" i="4" l="1"/>
  <c r="C9" i="4"/>
  <c r="C21" i="4"/>
  <c r="E21" i="4"/>
  <c r="F21" i="4"/>
  <c r="Q22" i="4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H22" i="5"/>
  <c r="D22" i="5"/>
  <c r="B22" i="5"/>
  <c r="A22" i="5"/>
  <c r="H21" i="5"/>
  <c r="B21" i="5"/>
  <c r="D21" i="5"/>
  <c r="A21" i="5"/>
  <c r="H20" i="5"/>
  <c r="D20" i="5"/>
  <c r="B20" i="5"/>
  <c r="A20" i="5"/>
  <c r="H19" i="5"/>
  <c r="B19" i="5"/>
  <c r="D19" i="5"/>
  <c r="A19" i="5"/>
  <c r="H18" i="5"/>
  <c r="D18" i="5"/>
  <c r="B18" i="5"/>
  <c r="A18" i="5"/>
  <c r="H17" i="5"/>
  <c r="B17" i="5"/>
  <c r="D17" i="5"/>
  <c r="A17" i="5"/>
  <c r="H16" i="5"/>
  <c r="D16" i="5"/>
  <c r="B16" i="5"/>
  <c r="A16" i="5"/>
  <c r="H15" i="5"/>
  <c r="B15" i="5"/>
  <c r="D15" i="5"/>
  <c r="A15" i="5"/>
  <c r="H14" i="5"/>
  <c r="D14" i="5"/>
  <c r="B14" i="5"/>
  <c r="A14" i="5"/>
  <c r="H13" i="5"/>
  <c r="B13" i="5"/>
  <c r="D13" i="5"/>
  <c r="A13" i="5"/>
  <c r="H12" i="5"/>
  <c r="D12" i="5"/>
  <c r="B12" i="5"/>
  <c r="A12" i="5"/>
  <c r="H11" i="5"/>
  <c r="B11" i="5"/>
  <c r="D11" i="5"/>
  <c r="A11" i="5"/>
  <c r="Q33" i="4"/>
  <c r="Q32" i="4"/>
  <c r="Q27" i="4"/>
  <c r="Q28" i="4"/>
  <c r="F16" i="4"/>
  <c r="F17" i="4" s="1"/>
  <c r="C17" i="4"/>
  <c r="Q28" i="1"/>
  <c r="C7" i="1"/>
  <c r="C8" i="1"/>
  <c r="E28" i="1"/>
  <c r="F28" i="1"/>
  <c r="G28" i="1"/>
  <c r="I28" i="1"/>
  <c r="C21" i="1"/>
  <c r="E22" i="1"/>
  <c r="F22" i="1"/>
  <c r="G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Q28" i="2"/>
  <c r="Q28" i="3"/>
  <c r="Q31" i="4"/>
  <c r="C7" i="4"/>
  <c r="Q21" i="4"/>
  <c r="Q23" i="4"/>
  <c r="Q24" i="4"/>
  <c r="Q25" i="4"/>
  <c r="Q26" i="4"/>
  <c r="Q29" i="4"/>
  <c r="Q30" i="4"/>
  <c r="C7" i="3"/>
  <c r="E28" i="3"/>
  <c r="F28" i="3"/>
  <c r="E27" i="3"/>
  <c r="F27" i="3"/>
  <c r="E24" i="3"/>
  <c r="F24" i="3"/>
  <c r="G24" i="3"/>
  <c r="I24" i="3"/>
  <c r="C15" i="3"/>
  <c r="C18" i="3"/>
  <c r="C19" i="3"/>
  <c r="C21" i="3"/>
  <c r="E21" i="3"/>
  <c r="F21" i="3"/>
  <c r="Q21" i="3"/>
  <c r="Q22" i="3"/>
  <c r="Q23" i="3"/>
  <c r="Q24" i="3"/>
  <c r="Q25" i="3"/>
  <c r="Q26" i="3"/>
  <c r="Q27" i="3"/>
  <c r="C7" i="2"/>
  <c r="E28" i="2"/>
  <c r="F28" i="2"/>
  <c r="C8" i="2"/>
  <c r="E21" i="2"/>
  <c r="F21" i="2"/>
  <c r="C21" i="2"/>
  <c r="E22" i="2"/>
  <c r="F22" i="2"/>
  <c r="E24" i="2"/>
  <c r="F24" i="2"/>
  <c r="E26" i="2"/>
  <c r="F26" i="2"/>
  <c r="G26" i="2"/>
  <c r="I26" i="2"/>
  <c r="C19" i="2"/>
  <c r="Q21" i="2"/>
  <c r="Q22" i="2"/>
  <c r="Q23" i="2"/>
  <c r="Q24" i="2"/>
  <c r="Q25" i="2"/>
  <c r="Q26" i="2"/>
  <c r="Q27" i="2"/>
  <c r="C15" i="1"/>
  <c r="I22" i="1"/>
  <c r="Q22" i="1"/>
  <c r="Q23" i="1"/>
  <c r="Q24" i="1"/>
  <c r="Q25" i="1"/>
  <c r="Q26" i="1"/>
  <c r="I27" i="1"/>
  <c r="Q27" i="1"/>
  <c r="Q21" i="1"/>
  <c r="C19" i="1"/>
  <c r="C18" i="1"/>
  <c r="E12" i="5"/>
  <c r="G21" i="1"/>
  <c r="E13" i="5"/>
  <c r="E14" i="5"/>
  <c r="E20" i="5"/>
  <c r="E17" i="5"/>
  <c r="E16" i="5"/>
  <c r="E32" i="4"/>
  <c r="F32" i="4"/>
  <c r="E26" i="4"/>
  <c r="F26" i="4"/>
  <c r="G26" i="4"/>
  <c r="K26" i="4"/>
  <c r="E27" i="2"/>
  <c r="F27" i="2"/>
  <c r="G27" i="2"/>
  <c r="I27" i="2"/>
  <c r="E25" i="3"/>
  <c r="F25" i="3"/>
  <c r="G25" i="3"/>
  <c r="I25" i="3"/>
  <c r="E21" i="1"/>
  <c r="F21" i="1"/>
  <c r="G28" i="4"/>
  <c r="K28" i="4"/>
  <c r="G31" i="4"/>
  <c r="J31" i="4"/>
  <c r="G25" i="4"/>
  <c r="K25" i="4"/>
  <c r="E23" i="2"/>
  <c r="F23" i="2"/>
  <c r="C11" i="2"/>
  <c r="G27" i="3"/>
  <c r="I27" i="3"/>
  <c r="G23" i="3"/>
  <c r="I23" i="3"/>
  <c r="E28" i="4"/>
  <c r="F28" i="4"/>
  <c r="E31" i="4"/>
  <c r="F31" i="4"/>
  <c r="E25" i="4"/>
  <c r="F25" i="4"/>
  <c r="G27" i="4"/>
  <c r="K27" i="4"/>
  <c r="G30" i="4"/>
  <c r="K30" i="4"/>
  <c r="G24" i="4"/>
  <c r="K24" i="4"/>
  <c r="E22" i="4"/>
  <c r="F22" i="4"/>
  <c r="G22" i="4"/>
  <c r="E27" i="4"/>
  <c r="F27" i="4"/>
  <c r="E30" i="4"/>
  <c r="F30" i="4"/>
  <c r="E24" i="4"/>
  <c r="F24" i="4"/>
  <c r="E23" i="3"/>
  <c r="F23" i="3"/>
  <c r="G26" i="3"/>
  <c r="I26" i="3"/>
  <c r="G28" i="3"/>
  <c r="I28" i="3"/>
  <c r="G28" i="2"/>
  <c r="I28" i="2"/>
  <c r="G23" i="4"/>
  <c r="K23" i="4"/>
  <c r="C15" i="2"/>
  <c r="C18" i="2"/>
  <c r="E25" i="2"/>
  <c r="F25" i="2"/>
  <c r="E33" i="4"/>
  <c r="F33" i="4"/>
  <c r="G33" i="4"/>
  <c r="J33" i="4"/>
  <c r="E29" i="4"/>
  <c r="F29" i="4"/>
  <c r="G29" i="4"/>
  <c r="K29" i="4"/>
  <c r="E23" i="4"/>
  <c r="F23" i="4"/>
  <c r="E22" i="3"/>
  <c r="F22" i="3"/>
  <c r="G22" i="3"/>
  <c r="E26" i="3"/>
  <c r="F26" i="3"/>
  <c r="G32" i="4"/>
  <c r="J32" i="4"/>
  <c r="I22" i="3"/>
  <c r="C12" i="3"/>
  <c r="C16" i="3"/>
  <c r="D18" i="3"/>
  <c r="C11" i="3"/>
  <c r="I22" i="4"/>
  <c r="E18" i="5"/>
  <c r="C12" i="2"/>
  <c r="C16" i="2"/>
  <c r="D18" i="2"/>
  <c r="E22" i="5"/>
  <c r="H21" i="1"/>
  <c r="C11" i="1"/>
  <c r="C12" i="1"/>
  <c r="C16" i="1"/>
  <c r="D18" i="1"/>
  <c r="E11" i="5"/>
  <c r="E15" i="5"/>
  <c r="E21" i="5"/>
  <c r="E19" i="5"/>
  <c r="O23" i="2"/>
  <c r="O22" i="2"/>
  <c r="O22" i="1"/>
  <c r="O21" i="1"/>
  <c r="O25" i="1"/>
  <c r="O26" i="1"/>
  <c r="O28" i="1"/>
  <c r="O24" i="1"/>
  <c r="O23" i="1"/>
  <c r="O27" i="1"/>
  <c r="O27" i="2"/>
  <c r="O21" i="2"/>
  <c r="O22" i="3"/>
  <c r="O26" i="3"/>
  <c r="O23" i="3"/>
  <c r="O28" i="3"/>
  <c r="O24" i="3"/>
  <c r="O27" i="3"/>
  <c r="O21" i="3"/>
  <c r="O25" i="3"/>
  <c r="O25" i="2"/>
  <c r="O24" i="2"/>
  <c r="O28" i="2"/>
  <c r="O26" i="2"/>
  <c r="C11" i="4"/>
  <c r="C12" i="4"/>
  <c r="C16" i="4" l="1"/>
  <c r="D18" i="4" s="1"/>
  <c r="O28" i="4"/>
  <c r="O24" i="4"/>
  <c r="O22" i="4"/>
  <c r="O31" i="4"/>
  <c r="O30" i="4"/>
  <c r="O27" i="4"/>
  <c r="O25" i="4"/>
  <c r="O32" i="4"/>
  <c r="O29" i="4"/>
  <c r="O23" i="4"/>
  <c r="O21" i="4"/>
  <c r="O26" i="4"/>
  <c r="O33" i="4"/>
  <c r="C15" i="4"/>
  <c r="F18" i="4" s="1"/>
  <c r="C18" i="4" l="1"/>
  <c r="F19" i="4"/>
</calcChain>
</file>

<file path=xl/sharedStrings.xml><?xml version="1.0" encoding="utf-8"?>
<sst xmlns="http://schemas.openxmlformats.org/spreadsheetml/2006/main" count="329" uniqueCount="120">
  <si>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</si>
  <si>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</si>
  <si>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</si>
  <si>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</si>
  <si>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</si>
  <si>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</si>
  <si>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</si>
  <si>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</si>
  <si>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</si>
  <si>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</si>
  <si>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</si>
  <si>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</si>
  <si>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</si>
  <si>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</si>
  <si>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</si>
  <si>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</si>
  <si>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</si>
  <si>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</si>
  <si>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</si>
  <si>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</si>
  <si>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</si>
  <si>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</si>
  <si>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</si>
  <si>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</si>
  <si>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</si>
  <si>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</si>
  <si>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</si>
  <si>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</si>
  <si>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</si>
  <si>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 xml:space="preserve">EW/KW     </t>
  </si>
  <si>
    <t>I</t>
  </si>
  <si>
    <t>na</t>
  </si>
  <si>
    <t>Misc</t>
  </si>
  <si>
    <t>QX Cyg</t>
  </si>
  <si>
    <t>IBVS 5263</t>
  </si>
  <si>
    <t>IBVS 5287</t>
  </si>
  <si>
    <t>IBVS 5583</t>
  </si>
  <si>
    <t>II</t>
  </si>
  <si>
    <t>Obviously wrong</t>
  </si>
  <si>
    <t>IBVS</t>
  </si>
  <si>
    <t>QX Cyg / GSC 3137-2869</t>
  </si>
  <si>
    <t>IBVS 5657</t>
  </si>
  <si>
    <t>IBVS 5731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</si>
  <si>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</si>
  <si>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</si>
  <si>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</si>
  <si>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</si>
  <si>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</si>
  <si>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</si>
  <si>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</si>
  <si>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</si>
  <si>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</si>
  <si>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</si>
  <si>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</si>
  <si>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IBVS 6118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</si>
  <si>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</si>
  <si>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</si>
  <si>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</si>
  <si>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</si>
  <si>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</si>
  <si>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</si>
  <si>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</si>
  <si>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</si>
  <si>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</si>
  <si>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</si>
  <si>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2451358.393 </t>
  </si>
  <si>
    <t> 28.06.1999 21:25 </t>
  </si>
  <si>
    <t> -0.151 </t>
  </si>
  <si>
    <t>E </t>
  </si>
  <si>
    <t>?</t>
  </si>
  <si>
    <t> R.Diethelm </t>
  </si>
  <si>
    <t> BBS 120 </t>
  </si>
  <si>
    <t>2451467.2123 </t>
  </si>
  <si>
    <t> 15.10.1999 17:05 </t>
  </si>
  <si>
    <t> -0.1842 </t>
  </si>
  <si>
    <t> M.Zejda </t>
  </si>
  <si>
    <t>IBVS 5263 </t>
  </si>
  <si>
    <t>2451697.4865 </t>
  </si>
  <si>
    <t> 01.06.2000 23:40 </t>
  </si>
  <si>
    <t> -0.2102 </t>
  </si>
  <si>
    <t>IBVS 5287 </t>
  </si>
  <si>
    <t>2451776.6348 </t>
  </si>
  <si>
    <t> 20.08.2000 03:14 </t>
  </si>
  <si>
    <t> -0.2276 </t>
  </si>
  <si>
    <t>2451777.5490 </t>
  </si>
  <si>
    <t> 21.08.2000 01:10 </t>
  </si>
  <si>
    <t> -0.2130 </t>
  </si>
  <si>
    <t>2452127.44550 </t>
  </si>
  <si>
    <t> 05.08.2001 22:41 </t>
  </si>
  <si>
    <t> -0.26477 </t>
  </si>
  <si>
    <t>C </t>
  </si>
  <si>
    <t>o</t>
  </si>
  <si>
    <t> K.Koss </t>
  </si>
  <si>
    <t>OEJV 0074 </t>
  </si>
  <si>
    <t>2452413.49510 </t>
  </si>
  <si>
    <t> 18.05.2002 23:52 </t>
  </si>
  <si>
    <t> -0.29115 </t>
  </si>
  <si>
    <t> Motl et al. </t>
  </si>
  <si>
    <t>2452440.4817 </t>
  </si>
  <si>
    <t> 14.06.2002 23:33 </t>
  </si>
  <si>
    <t> -0.2928 </t>
  </si>
  <si>
    <t>IBVS 5583 </t>
  </si>
  <si>
    <t>2452507.4988 </t>
  </si>
  <si>
    <t> 20.08.2002 23:58 </t>
  </si>
  <si>
    <t> -0.2967 </t>
  </si>
  <si>
    <t>2453258.5772 </t>
  </si>
  <si>
    <t> 10.09.2004 01:51 </t>
  </si>
  <si>
    <t> -0.3926 </t>
  </si>
  <si>
    <t> F.Agerer </t>
  </si>
  <si>
    <t>BAVM 173 </t>
  </si>
  <si>
    <t>2453612.5263 </t>
  </si>
  <si>
    <t> 30.08.2005 00:37 </t>
  </si>
  <si>
    <t> -0.4401 </t>
  </si>
  <si>
    <t> Schmidt </t>
  </si>
  <si>
    <t>BAVM 178 </t>
  </si>
  <si>
    <t>2454922.644 </t>
  </si>
  <si>
    <t> 01.04.2009 03:27 </t>
  </si>
  <si>
    <t> -0.604 </t>
  </si>
  <si>
    <t> W.Moschner &amp; P.Frank </t>
  </si>
  <si>
    <t>BAVM 234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</si>
</sst>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9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9" fillId="2" borderId="13" xfId="7" applyFill="1" applyBorder="1" applyAlignment="1" applyProtection="1">
      <alignment horizontal="right" vertical="top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Cyg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23352.334999999999</c:v>
                  </c:pt>
                  <c:pt idx="1">
                    <c:v>51358.392999999996</c:v>
                  </c:pt>
                  <c:pt idx="2">
                    <c:v>51467.212299999999</c:v>
                  </c:pt>
                  <c:pt idx="3">
                    <c:v>51697.486499999999</c:v>
                  </c:pt>
                  <c:pt idx="4">
                    <c:v>51776.6348</c:v>
                  </c:pt>
                  <c:pt idx="5">
                    <c:v>51777.548999999999</c:v>
                  </c:pt>
                  <c:pt idx="6">
                    <c:v>52127.445500000002</c:v>
                  </c:pt>
                  <c:pt idx="7">
                    <c:v>52413.4951</c:v>
                  </c:pt>
                  <c:pt idx="8">
                    <c:v>52440.481699999997</c:v>
                  </c:pt>
                  <c:pt idx="9">
                    <c:v>52507.498800000001</c:v>
                  </c:pt>
                  <c:pt idx="10">
                    <c:v>53258.5772</c:v>
                  </c:pt>
                  <c:pt idx="11">
                    <c:v>53612.526299999998</c:v>
                  </c:pt>
                  <c:pt idx="12">
                    <c:v>54922.644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23352.334999999999</c:v>
                  </c:pt>
                  <c:pt idx="1">
                    <c:v>51358.392999999996</c:v>
                  </c:pt>
                  <c:pt idx="2">
                    <c:v>51467.212299999999</c:v>
                  </c:pt>
                  <c:pt idx="3">
                    <c:v>51697.486499999999</c:v>
                  </c:pt>
                  <c:pt idx="4">
                    <c:v>51776.6348</c:v>
                  </c:pt>
                  <c:pt idx="5">
                    <c:v>51777.548999999999</c:v>
                  </c:pt>
                  <c:pt idx="6">
                    <c:v>52127.445500000002</c:v>
                  </c:pt>
                  <c:pt idx="7">
                    <c:v>52413.4951</c:v>
                  </c:pt>
                  <c:pt idx="8">
                    <c:v>52440.481699999997</c:v>
                  </c:pt>
                  <c:pt idx="9">
                    <c:v>52507.498800000001</c:v>
                  </c:pt>
                  <c:pt idx="10">
                    <c:v>53258.5772</c:v>
                  </c:pt>
                  <c:pt idx="11">
                    <c:v>53612.526299999998</c:v>
                  </c:pt>
                  <c:pt idx="12">
                    <c:v>54922.644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AE-4D08-BEC5-2152703A04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1.34E-2</c:v>
                  </c:pt>
                  <c:pt idx="3">
                    <c:v>2.3E-3</c:v>
                  </c:pt>
                  <c:pt idx="4">
                    <c:v>7.4999999999999997E-3</c:v>
                  </c:pt>
                  <c:pt idx="5">
                    <c:v>7.0000000000000001E-3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2.3999999999999998E-3</c:v>
                  </c:pt>
                  <c:pt idx="9">
                    <c:v>8.5000000000000006E-3</c:v>
                  </c:pt>
                  <c:pt idx="10">
                    <c:v>1.2999999999999999E-3</c:v>
                  </c:pt>
                  <c:pt idx="11">
                    <c:v>3.7000000000000002E-3</c:v>
                  </c:pt>
                  <c:pt idx="12">
                    <c:v>6.0000000000000001E-3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1.34E-2</c:v>
                  </c:pt>
                  <c:pt idx="3">
                    <c:v>2.3E-3</c:v>
                  </c:pt>
                  <c:pt idx="4">
                    <c:v>7.4999999999999997E-3</c:v>
                  </c:pt>
                  <c:pt idx="5">
                    <c:v>7.0000000000000001E-3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2.3999999999999998E-3</c:v>
                  </c:pt>
                  <c:pt idx="9">
                    <c:v>8.5000000000000006E-3</c:v>
                  </c:pt>
                  <c:pt idx="10">
                    <c:v>1.2999999999999999E-3</c:v>
                  </c:pt>
                  <c:pt idx="11">
                    <c:v>3.7000000000000002E-3</c:v>
                  </c:pt>
                  <c:pt idx="1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-0.25416240363119869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AE-4D08-BEC5-2152703A04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10">
                  <c:v>-0.2894723788194824</c:v>
                </c:pt>
                <c:pt idx="11">
                  <c:v>-0.29842074579937616</c:v>
                </c:pt>
                <c:pt idx="12">
                  <c:v>-0.32023141035460867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AE-4D08-BEC5-2152703A04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">
                  <c:v>-0.27583788623451255</c:v>
                </c:pt>
                <c:pt idx="3">
                  <c:v>-0.27675956842722371</c:v>
                </c:pt>
                <c:pt idx="4">
                  <c:v>-0.28553264668880729</c:v>
                </c:pt>
                <c:pt idx="5">
                  <c:v>-0.2708448407574906</c:v>
                </c:pt>
                <c:pt idx="6">
                  <c:v>-0.28458833441254683</c:v>
                </c:pt>
                <c:pt idx="7">
                  <c:v>-0.27986604902253021</c:v>
                </c:pt>
                <c:pt idx="8">
                  <c:v>-0.27863187116599875</c:v>
                </c:pt>
                <c:pt idx="9">
                  <c:v>-0.27519032945565414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AE-4D08-BEC5-2152703A04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AE-4D08-BEC5-2152703A04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AE-4D08-BEC5-2152703A04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AE-4D08-BEC5-2152703A04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0.12013469881916966</c:v>
                </c:pt>
                <c:pt idx="1">
                  <c:v>-0.26740224037499521</c:v>
                </c:pt>
                <c:pt idx="2">
                  <c:v>-0.26890832579791135</c:v>
                </c:pt>
                <c:pt idx="3">
                  <c:v>-0.27209475446127113</c:v>
                </c:pt>
                <c:pt idx="4">
                  <c:v>-0.27319008931430105</c:v>
                </c:pt>
                <c:pt idx="5">
                  <c:v>-0.27320253630126728</c:v>
                </c:pt>
                <c:pt idx="6">
                  <c:v>-0.27804441423113818</c:v>
                </c:pt>
                <c:pt idx="7">
                  <c:v>-0.2820025560864054</c:v>
                </c:pt>
                <c:pt idx="8">
                  <c:v>-0.28237596569539286</c:v>
                </c:pt>
                <c:pt idx="9">
                  <c:v>-0.2833032662243784</c:v>
                </c:pt>
                <c:pt idx="10">
                  <c:v>-0.29369650034119643</c:v>
                </c:pt>
                <c:pt idx="11">
                  <c:v>-0.29859438971241542</c:v>
                </c:pt>
                <c:pt idx="12">
                  <c:v>-0.31672342622875721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AE-4D08-BEC5-2152703A0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420640"/>
        <c:axId val="1"/>
      </c:scatterChart>
      <c:valAx>
        <c:axId val="58542064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42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7853069254873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Cyg - O-C Diagr.</a:t>
            </a:r>
          </a:p>
        </c:rich>
      </c:tx>
      <c:layout>
        <c:manualLayout>
          <c:xMode val="edge"/>
          <c:yMode val="edge"/>
          <c:x val="0.375806451612903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23352.334999999999</c:v>
                  </c:pt>
                  <c:pt idx="1">
                    <c:v>51358.392999999996</c:v>
                  </c:pt>
                  <c:pt idx="2">
                    <c:v>51467.212299999999</c:v>
                  </c:pt>
                  <c:pt idx="3">
                    <c:v>51697.486499999999</c:v>
                  </c:pt>
                  <c:pt idx="4">
                    <c:v>51776.6348</c:v>
                  </c:pt>
                  <c:pt idx="5">
                    <c:v>51777.548999999999</c:v>
                  </c:pt>
                  <c:pt idx="6">
                    <c:v>52127.445500000002</c:v>
                  </c:pt>
                  <c:pt idx="7">
                    <c:v>52413.4951</c:v>
                  </c:pt>
                  <c:pt idx="8">
                    <c:v>52440.481699999997</c:v>
                  </c:pt>
                  <c:pt idx="9">
                    <c:v>52507.498800000001</c:v>
                  </c:pt>
                  <c:pt idx="10">
                    <c:v>53258.5772</c:v>
                  </c:pt>
                  <c:pt idx="11">
                    <c:v>53612.526299999998</c:v>
                  </c:pt>
                  <c:pt idx="12">
                    <c:v>54922.644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23352.334999999999</c:v>
                  </c:pt>
                  <c:pt idx="1">
                    <c:v>51358.392999999996</c:v>
                  </c:pt>
                  <c:pt idx="2">
                    <c:v>51467.212299999999</c:v>
                  </c:pt>
                  <c:pt idx="3">
                    <c:v>51697.486499999999</c:v>
                  </c:pt>
                  <c:pt idx="4">
                    <c:v>51776.6348</c:v>
                  </c:pt>
                  <c:pt idx="5">
                    <c:v>51777.548999999999</c:v>
                  </c:pt>
                  <c:pt idx="6">
                    <c:v>52127.445500000002</c:v>
                  </c:pt>
                  <c:pt idx="7">
                    <c:v>52413.4951</c:v>
                  </c:pt>
                  <c:pt idx="8">
                    <c:v>52440.481699999997</c:v>
                  </c:pt>
                  <c:pt idx="9">
                    <c:v>52507.498800000001</c:v>
                  </c:pt>
                  <c:pt idx="10">
                    <c:v>53258.5772</c:v>
                  </c:pt>
                  <c:pt idx="11">
                    <c:v>53612.526299999998</c:v>
                  </c:pt>
                  <c:pt idx="12">
                    <c:v>54922.644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8A-4EDA-873C-9FFCA7D23B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1.34E-2</c:v>
                  </c:pt>
                  <c:pt idx="3">
                    <c:v>2.3E-3</c:v>
                  </c:pt>
                  <c:pt idx="4">
                    <c:v>7.4999999999999997E-3</c:v>
                  </c:pt>
                  <c:pt idx="5">
                    <c:v>7.0000000000000001E-3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2.3999999999999998E-3</c:v>
                  </c:pt>
                  <c:pt idx="9">
                    <c:v>8.5000000000000006E-3</c:v>
                  </c:pt>
                  <c:pt idx="10">
                    <c:v>1.2999999999999999E-3</c:v>
                  </c:pt>
                  <c:pt idx="11">
                    <c:v>3.7000000000000002E-3</c:v>
                  </c:pt>
                  <c:pt idx="12">
                    <c:v>6.0000000000000001E-3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1.34E-2</c:v>
                  </c:pt>
                  <c:pt idx="3">
                    <c:v>2.3E-3</c:v>
                  </c:pt>
                  <c:pt idx="4">
                    <c:v>7.4999999999999997E-3</c:v>
                  </c:pt>
                  <c:pt idx="5">
                    <c:v>7.0000000000000001E-3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2.3999999999999998E-3</c:v>
                  </c:pt>
                  <c:pt idx="9">
                    <c:v>8.5000000000000006E-3</c:v>
                  </c:pt>
                  <c:pt idx="10">
                    <c:v>1.2999999999999999E-3</c:v>
                  </c:pt>
                  <c:pt idx="11">
                    <c:v>3.7000000000000002E-3</c:v>
                  </c:pt>
                  <c:pt idx="1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-0.25416240363119869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A-4EDA-873C-9FFCA7D23B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10">
                  <c:v>-0.2894723788194824</c:v>
                </c:pt>
                <c:pt idx="11">
                  <c:v>-0.29842074579937616</c:v>
                </c:pt>
                <c:pt idx="12">
                  <c:v>-0.32023141035460867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8A-4EDA-873C-9FFCA7D23B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">
                  <c:v>-0.27583788623451255</c:v>
                </c:pt>
                <c:pt idx="3">
                  <c:v>-0.27675956842722371</c:v>
                </c:pt>
                <c:pt idx="4">
                  <c:v>-0.28553264668880729</c:v>
                </c:pt>
                <c:pt idx="5">
                  <c:v>-0.2708448407574906</c:v>
                </c:pt>
                <c:pt idx="6">
                  <c:v>-0.28458833441254683</c:v>
                </c:pt>
                <c:pt idx="7">
                  <c:v>-0.27986604902253021</c:v>
                </c:pt>
                <c:pt idx="8">
                  <c:v>-0.27863187116599875</c:v>
                </c:pt>
                <c:pt idx="9">
                  <c:v>-0.27519032945565414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8A-4EDA-873C-9FFCA7D23B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8A-4EDA-873C-9FFCA7D23B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8A-4EDA-873C-9FFCA7D23B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8A-4EDA-873C-9FFCA7D23B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31135</c:v>
                </c:pt>
                <c:pt idx="2">
                  <c:v>31256</c:v>
                </c:pt>
                <c:pt idx="3">
                  <c:v>31512</c:v>
                </c:pt>
                <c:pt idx="4">
                  <c:v>31600</c:v>
                </c:pt>
                <c:pt idx="5">
                  <c:v>31601</c:v>
                </c:pt>
                <c:pt idx="6">
                  <c:v>31990</c:v>
                </c:pt>
                <c:pt idx="7">
                  <c:v>32308</c:v>
                </c:pt>
                <c:pt idx="8">
                  <c:v>32338</c:v>
                </c:pt>
                <c:pt idx="9">
                  <c:v>32412.5</c:v>
                </c:pt>
                <c:pt idx="10">
                  <c:v>33247.5</c:v>
                </c:pt>
                <c:pt idx="11">
                  <c:v>33641</c:v>
                </c:pt>
                <c:pt idx="12">
                  <c:v>35097.5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0.12013469881916966</c:v>
                </c:pt>
                <c:pt idx="1">
                  <c:v>-0.26740224037499521</c:v>
                </c:pt>
                <c:pt idx="2">
                  <c:v>-0.26890832579791135</c:v>
                </c:pt>
                <c:pt idx="3">
                  <c:v>-0.27209475446127113</c:v>
                </c:pt>
                <c:pt idx="4">
                  <c:v>-0.27319008931430105</c:v>
                </c:pt>
                <c:pt idx="5">
                  <c:v>-0.27320253630126728</c:v>
                </c:pt>
                <c:pt idx="6">
                  <c:v>-0.27804441423113818</c:v>
                </c:pt>
                <c:pt idx="7">
                  <c:v>-0.2820025560864054</c:v>
                </c:pt>
                <c:pt idx="8">
                  <c:v>-0.28237596569539286</c:v>
                </c:pt>
                <c:pt idx="9">
                  <c:v>-0.2833032662243784</c:v>
                </c:pt>
                <c:pt idx="10">
                  <c:v>-0.29369650034119643</c:v>
                </c:pt>
                <c:pt idx="11">
                  <c:v>-0.29859438971241542</c:v>
                </c:pt>
                <c:pt idx="12">
                  <c:v>-0.31672342622875721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8A-4EDA-873C-9FFCA7D23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276456"/>
        <c:axId val="1"/>
      </c:scatterChart>
      <c:valAx>
        <c:axId val="533276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276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4921861831491"/>
          <c:w val="0.674193548387096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Cyg - O-C Diagr.</a:t>
            </a:r>
          </a:p>
        </c:rich>
      </c:tx>
      <c:layout>
        <c:manualLayout>
          <c:xMode val="edge"/>
          <c:yMode val="edge"/>
          <c:x val="0.376413909489100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906365094252553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(old)'!$C$21:$C$1967</c:f>
                <c:numCache>
                  <c:formatCode>General</c:formatCode>
                  <c:ptCount val="1947"/>
                  <c:pt idx="0">
                    <c:v>23352.334999999999</c:v>
                  </c:pt>
                  <c:pt idx="1">
                    <c:v>51467.212299999999</c:v>
                  </c:pt>
                  <c:pt idx="2">
                    <c:v>51697.486499999999</c:v>
                  </c:pt>
                  <c:pt idx="3">
                    <c:v>51776.6348</c:v>
                  </c:pt>
                  <c:pt idx="4">
                    <c:v>51777.548999999999</c:v>
                  </c:pt>
                  <c:pt idx="5">
                    <c:v>52440.481699999997</c:v>
                  </c:pt>
                  <c:pt idx="6">
                    <c:v>52507.498800000001</c:v>
                  </c:pt>
                  <c:pt idx="7">
                    <c:v>53258.5772</c:v>
                  </c:pt>
                </c:numCache>
              </c:numRef>
            </c:plus>
            <c:minus>
              <c:numRef>
                <c:f>'A (old)'!$C$21:$C$1967</c:f>
                <c:numCache>
                  <c:formatCode>General</c:formatCode>
                  <c:ptCount val="1947"/>
                  <c:pt idx="0">
                    <c:v>23352.334999999999</c:v>
                  </c:pt>
                  <c:pt idx="1">
                    <c:v>51467.212299999999</c:v>
                  </c:pt>
                  <c:pt idx="2">
                    <c:v>51697.486499999999</c:v>
                  </c:pt>
                  <c:pt idx="3">
                    <c:v>51776.6348</c:v>
                  </c:pt>
                  <c:pt idx="4">
                    <c:v>51777.548999999999</c:v>
                  </c:pt>
                  <c:pt idx="5">
                    <c:v>52440.481699999997</c:v>
                  </c:pt>
                  <c:pt idx="6">
                    <c:v>52507.498800000001</c:v>
                  </c:pt>
                  <c:pt idx="7">
                    <c:v>53258.5772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'A (old)'!$H$21:$H$966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9-4B2E-B741-7931C07D633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1.34E-2</c:v>
                  </c:pt>
                  <c:pt idx="2">
                    <c:v>2.3E-3</c:v>
                  </c:pt>
                  <c:pt idx="3">
                    <c:v>7.4999999999999997E-3</c:v>
                  </c:pt>
                  <c:pt idx="4">
                    <c:v>7.0000000000000001E-3</c:v>
                  </c:pt>
                  <c:pt idx="5">
                    <c:v>2.3999999999999998E-3</c:v>
                  </c:pt>
                  <c:pt idx="6">
                    <c:v>8.5000000000000006E-3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1.34E-2</c:v>
                  </c:pt>
                  <c:pt idx="2">
                    <c:v>2.3E-3</c:v>
                  </c:pt>
                  <c:pt idx="3">
                    <c:v>7.4999999999999997E-3</c:v>
                  </c:pt>
                  <c:pt idx="4">
                    <c:v>7.0000000000000001E-3</c:v>
                  </c:pt>
                  <c:pt idx="5">
                    <c:v>2.3999999999999998E-3</c:v>
                  </c:pt>
                  <c:pt idx="6">
                    <c:v>8.5000000000000006E-3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'A (old)'!$I$21:$I$966</c:f>
              <c:numCache>
                <c:formatCode>General</c:formatCode>
                <c:ptCount val="946"/>
                <c:pt idx="1">
                  <c:v>-0.18422500000451691</c:v>
                </c:pt>
                <c:pt idx="2">
                  <c:v>-0.21018500000354834</c:v>
                </c:pt>
                <c:pt idx="3">
                  <c:v>0.22224000000278465</c:v>
                </c:pt>
                <c:pt idx="4">
                  <c:v>-0.21297500000218861</c:v>
                </c:pt>
                <c:pt idx="5">
                  <c:v>0.15696000000025379</c:v>
                </c:pt>
                <c:pt idx="6">
                  <c:v>0.15311500000098022</c:v>
                </c:pt>
                <c:pt idx="7">
                  <c:v>5.7164999998349231E-2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9-4B2E-B741-7931C07D633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'A (old)'!$J$21:$J$966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19-4B2E-B741-7931C07D633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'A (old)'!$K$21:$K$966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19-4B2E-B741-7931C07D633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'A (old)'!$L$21:$L$966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19-4B2E-B741-7931C07D633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'A (old)'!$M$21:$M$966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19-4B2E-B741-7931C07D633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'A (old)'!$N$21:$N$966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19-4B2E-B741-7931C07D633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'A (old)'!$O$21:$O$966</c:f>
              <c:numCache>
                <c:formatCode>General</c:formatCode>
                <c:ptCount val="946"/>
                <c:pt idx="0">
                  <c:v>-1.3181719970566193E-2</c:v>
                </c:pt>
                <c:pt idx="1">
                  <c:v>-9.6366377128779927E-4</c:v>
                </c:pt>
                <c:pt idx="2">
                  <c:v>-8.6358146148809468E-4</c:v>
                </c:pt>
                <c:pt idx="3">
                  <c:v>-8.2937364075577266E-4</c:v>
                </c:pt>
                <c:pt idx="4">
                  <c:v>-8.2878722097179044E-4</c:v>
                </c:pt>
                <c:pt idx="5">
                  <c:v>-5.4085510703631191E-4</c:v>
                </c:pt>
                <c:pt idx="6">
                  <c:v>-5.1172959109850764E-4</c:v>
                </c:pt>
                <c:pt idx="7">
                  <c:v>-1.8528924468150243E-4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19-4B2E-B741-7931C07D6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315848"/>
        <c:axId val="1"/>
      </c:scatterChart>
      <c:valAx>
        <c:axId val="585315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315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770614699010764"/>
          <c:y val="0.91975600272188196"/>
          <c:w val="0.90145463642569723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Cyg - O-C Diagr.</a:t>
            </a:r>
          </a:p>
        </c:rich>
      </c:tx>
      <c:layout>
        <c:manualLayout>
          <c:xMode val="edge"/>
          <c:yMode val="edge"/>
          <c:x val="0.376413909489100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906365094252553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B!$C$21:$C$1967</c:f>
                <c:numCache>
                  <c:formatCode>General</c:formatCode>
                  <c:ptCount val="1947"/>
                  <c:pt idx="0">
                    <c:v>23352.334999999999</c:v>
                  </c:pt>
                  <c:pt idx="1">
                    <c:v>51467.212299999999</c:v>
                  </c:pt>
                  <c:pt idx="2">
                    <c:v>51697.486499999999</c:v>
                  </c:pt>
                  <c:pt idx="3">
                    <c:v>51776.6348</c:v>
                  </c:pt>
                  <c:pt idx="4">
                    <c:v>51777.548999999999</c:v>
                  </c:pt>
                  <c:pt idx="5">
                    <c:v>52440.481699999997</c:v>
                  </c:pt>
                  <c:pt idx="6">
                    <c:v>52507.498800000001</c:v>
                  </c:pt>
                  <c:pt idx="7">
                    <c:v>53258.5772</c:v>
                  </c:pt>
                </c:numCache>
              </c:numRef>
            </c:plus>
            <c:minus>
              <c:numRef>
                <c:f>B!$C$21:$C$1967</c:f>
                <c:numCache>
                  <c:formatCode>General</c:formatCode>
                  <c:ptCount val="1947"/>
                  <c:pt idx="0">
                    <c:v>23352.334999999999</c:v>
                  </c:pt>
                  <c:pt idx="1">
                    <c:v>51467.212299999999</c:v>
                  </c:pt>
                  <c:pt idx="2">
                    <c:v>51697.486499999999</c:v>
                  </c:pt>
                  <c:pt idx="3">
                    <c:v>51776.6348</c:v>
                  </c:pt>
                  <c:pt idx="4">
                    <c:v>51777.548999999999</c:v>
                  </c:pt>
                  <c:pt idx="5">
                    <c:v>52440.481699999997</c:v>
                  </c:pt>
                  <c:pt idx="6">
                    <c:v>52507.498800000001</c:v>
                  </c:pt>
                  <c:pt idx="7">
                    <c:v>53258.5772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B!$H$21:$H$966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65-4FBF-8CF0-DEFABFCDD78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1.34E-2</c:v>
                  </c:pt>
                  <c:pt idx="2">
                    <c:v>2.3E-3</c:v>
                  </c:pt>
                  <c:pt idx="3">
                    <c:v>7.4999999999999997E-3</c:v>
                  </c:pt>
                  <c:pt idx="4">
                    <c:v>7.0000000000000001E-3</c:v>
                  </c:pt>
                  <c:pt idx="5">
                    <c:v>2.3999999999999998E-3</c:v>
                  </c:pt>
                  <c:pt idx="6">
                    <c:v>8.5000000000000006E-3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B!$D$21:$D$85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1.34E-2</c:v>
                  </c:pt>
                  <c:pt idx="2">
                    <c:v>2.3E-3</c:v>
                  </c:pt>
                  <c:pt idx="3">
                    <c:v>7.4999999999999997E-3</c:v>
                  </c:pt>
                  <c:pt idx="4">
                    <c:v>7.0000000000000001E-3</c:v>
                  </c:pt>
                  <c:pt idx="5">
                    <c:v>2.3999999999999998E-3</c:v>
                  </c:pt>
                  <c:pt idx="6">
                    <c:v>8.5000000000000006E-3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B!$I$21:$I$966</c:f>
              <c:numCache>
                <c:formatCode>General</c:formatCode>
                <c:ptCount val="946"/>
                <c:pt idx="1">
                  <c:v>-0.18422500000451691</c:v>
                </c:pt>
                <c:pt idx="2">
                  <c:v>-0.21018500000354834</c:v>
                </c:pt>
                <c:pt idx="3">
                  <c:v>0.22224000000278465</c:v>
                </c:pt>
                <c:pt idx="4">
                  <c:v>-0.21297500000218861</c:v>
                </c:pt>
                <c:pt idx="5">
                  <c:v>0.15696000000025379</c:v>
                </c:pt>
                <c:pt idx="6">
                  <c:v>0.15311500000098022</c:v>
                </c:pt>
                <c:pt idx="7">
                  <c:v>5.7164999998349231E-2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65-4FBF-8CF0-DEFABFCDD789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B!$J$21:$J$966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65-4FBF-8CF0-DEFABFCDD789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B!$K$21:$K$966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65-4FBF-8CF0-DEFABFCDD789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B!$L$21:$L$966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65-4FBF-8CF0-DEFABFCDD78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B!$M$21:$M$966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65-4FBF-8CF0-DEFABFCDD78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B!$N$21:$N$966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65-4FBF-8CF0-DEFABFCDD78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31252.5</c:v>
                </c:pt>
                <c:pt idx="2">
                  <c:v>31508.5</c:v>
                </c:pt>
                <c:pt idx="3">
                  <c:v>31596</c:v>
                </c:pt>
                <c:pt idx="4">
                  <c:v>31597.5</c:v>
                </c:pt>
                <c:pt idx="5">
                  <c:v>32334</c:v>
                </c:pt>
                <c:pt idx="6">
                  <c:v>32408.5</c:v>
                </c:pt>
                <c:pt idx="7">
                  <c:v>33243.5</c:v>
                </c:pt>
              </c:numCache>
            </c:numRef>
          </c:xVal>
          <c:yVal>
            <c:numRef>
              <c:f>B!$O$21:$O$966</c:f>
              <c:numCache>
                <c:formatCode>General</c:formatCode>
                <c:ptCount val="946"/>
                <c:pt idx="0">
                  <c:v>3.776546413416741</c:v>
                </c:pt>
                <c:pt idx="1">
                  <c:v>0.28010424559753089</c:v>
                </c:pt>
                <c:pt idx="2">
                  <c:v>0.25146368260379548</c:v>
                </c:pt>
                <c:pt idx="3">
                  <c:v>0.24167442767429614</c:v>
                </c:pt>
                <c:pt idx="4">
                  <c:v>0.24150661187550471</c:v>
                </c:pt>
                <c:pt idx="5">
                  <c:v>0.15910905466891778</c:v>
                </c:pt>
                <c:pt idx="6">
                  <c:v>0.15077420332894409</c:v>
                </c:pt>
                <c:pt idx="7">
                  <c:v>5.7356742001720917E-2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65-4FBF-8CF0-DEFABFCD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46472"/>
        <c:axId val="1"/>
      </c:scatterChart>
      <c:valAx>
        <c:axId val="607646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646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770614699010764"/>
          <c:y val="0.91975600272188196"/>
          <c:w val="0.90145463642569723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Cyg - O-C Diagr.</a:t>
            </a:r>
          </a:p>
        </c:rich>
      </c:tx>
      <c:layout>
        <c:manualLayout>
          <c:xMode val="edge"/>
          <c:yMode val="edge"/>
          <c:x val="0.376413909489100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906365094252553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'C'!$C$21:$C$1967</c:f>
                <c:numCache>
                  <c:formatCode>General</c:formatCode>
                  <c:ptCount val="1947"/>
                  <c:pt idx="0">
                    <c:v>23352.334999999999</c:v>
                  </c:pt>
                  <c:pt idx="1">
                    <c:v>51467.212299999999</c:v>
                  </c:pt>
                  <c:pt idx="2">
                    <c:v>51697.486499999999</c:v>
                  </c:pt>
                  <c:pt idx="3">
                    <c:v>51776.6348</c:v>
                  </c:pt>
                  <c:pt idx="4">
                    <c:v>51777.548999999999</c:v>
                  </c:pt>
                  <c:pt idx="5">
                    <c:v>52440.481699999997</c:v>
                  </c:pt>
                  <c:pt idx="6">
                    <c:v>52507.498800000001</c:v>
                  </c:pt>
                  <c:pt idx="7">
                    <c:v>53258.5772</c:v>
                  </c:pt>
                </c:numCache>
              </c:numRef>
            </c:plus>
            <c:minus>
              <c:numRef>
                <c:f>'C'!$C$21:$C$1967</c:f>
                <c:numCache>
                  <c:formatCode>General</c:formatCode>
                  <c:ptCount val="1947"/>
                  <c:pt idx="0">
                    <c:v>23352.334999999999</c:v>
                  </c:pt>
                  <c:pt idx="1">
                    <c:v>51467.212299999999</c:v>
                  </c:pt>
                  <c:pt idx="2">
                    <c:v>51697.486499999999</c:v>
                  </c:pt>
                  <c:pt idx="3">
                    <c:v>51776.6348</c:v>
                  </c:pt>
                  <c:pt idx="4">
                    <c:v>51777.548999999999</c:v>
                  </c:pt>
                  <c:pt idx="5">
                    <c:v>52440.481699999997</c:v>
                  </c:pt>
                  <c:pt idx="6">
                    <c:v>52507.498800000001</c:v>
                  </c:pt>
                  <c:pt idx="7">
                    <c:v>53258.5772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31254</c:v>
                </c:pt>
                <c:pt idx="2">
                  <c:v>31510</c:v>
                </c:pt>
                <c:pt idx="3">
                  <c:v>31598</c:v>
                </c:pt>
                <c:pt idx="4">
                  <c:v>31599</c:v>
                </c:pt>
                <c:pt idx="5">
                  <c:v>32336</c:v>
                </c:pt>
                <c:pt idx="6">
                  <c:v>32410.5</c:v>
                </c:pt>
                <c:pt idx="7">
                  <c:v>33245.5</c:v>
                </c:pt>
              </c:numCache>
            </c:numRef>
          </c:xVal>
          <c:yVal>
            <c:numRef>
              <c:f>'C'!$H$21:$H$966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2-4893-9F75-2FEE62D4E6A2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1.34E-2</c:v>
                  </c:pt>
                  <c:pt idx="2">
                    <c:v>2.3E-3</c:v>
                  </c:pt>
                  <c:pt idx="3">
                    <c:v>7.4999999999999997E-3</c:v>
                  </c:pt>
                  <c:pt idx="4">
                    <c:v>7.0000000000000001E-3</c:v>
                  </c:pt>
                  <c:pt idx="5">
                    <c:v>2.3999999999999998E-3</c:v>
                  </c:pt>
                  <c:pt idx="6">
                    <c:v>8.5000000000000006E-3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1.34E-2</c:v>
                  </c:pt>
                  <c:pt idx="2">
                    <c:v>2.3E-3</c:v>
                  </c:pt>
                  <c:pt idx="3">
                    <c:v>7.4999999999999997E-3</c:v>
                  </c:pt>
                  <c:pt idx="4">
                    <c:v>7.0000000000000001E-3</c:v>
                  </c:pt>
                  <c:pt idx="5">
                    <c:v>2.3999999999999998E-3</c:v>
                  </c:pt>
                  <c:pt idx="6">
                    <c:v>8.5000000000000006E-3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31254</c:v>
                </c:pt>
                <c:pt idx="2">
                  <c:v>31510</c:v>
                </c:pt>
                <c:pt idx="3">
                  <c:v>31598</c:v>
                </c:pt>
                <c:pt idx="4">
                  <c:v>31599</c:v>
                </c:pt>
                <c:pt idx="5">
                  <c:v>32336</c:v>
                </c:pt>
                <c:pt idx="6">
                  <c:v>32410.5</c:v>
                </c:pt>
                <c:pt idx="7">
                  <c:v>33245.5</c:v>
                </c:pt>
              </c:numCache>
            </c:numRef>
          </c:xVal>
          <c:yVal>
            <c:numRef>
              <c:f>'C'!$I$21:$I$966</c:f>
              <c:numCache>
                <c:formatCode>General</c:formatCode>
                <c:ptCount val="946"/>
                <c:pt idx="1">
                  <c:v>7.9402013114304282E-2</c:v>
                </c:pt>
                <c:pt idx="2">
                  <c:v>6.6654362104600295E-2</c:v>
                </c:pt>
                <c:pt idx="3">
                  <c:v>5.3816107072634622E-2</c:v>
                </c:pt>
                <c:pt idx="4">
                  <c:v>6.8457717818091623E-2</c:v>
                </c:pt>
                <c:pt idx="5">
                  <c:v>2.6624831902154256E-2</c:v>
                </c:pt>
                <c:pt idx="6">
                  <c:v>2.6624831902154256E-2</c:v>
                </c:pt>
                <c:pt idx="7">
                  <c:v>-2.6230201663565822E-2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52-4893-9F75-2FEE62D4E6A2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'C'!$D$21:$D$21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31254</c:v>
                </c:pt>
                <c:pt idx="2">
                  <c:v>31510</c:v>
                </c:pt>
                <c:pt idx="3">
                  <c:v>31598</c:v>
                </c:pt>
                <c:pt idx="4">
                  <c:v>31599</c:v>
                </c:pt>
                <c:pt idx="5">
                  <c:v>32336</c:v>
                </c:pt>
                <c:pt idx="6">
                  <c:v>32410.5</c:v>
                </c:pt>
                <c:pt idx="7">
                  <c:v>33245.5</c:v>
                </c:pt>
              </c:numCache>
            </c:numRef>
          </c:xVal>
          <c:yVal>
            <c:numRef>
              <c:f>'C'!$J$21:$J$966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52-4893-9F75-2FEE62D4E6A2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31254</c:v>
                </c:pt>
                <c:pt idx="2">
                  <c:v>31510</c:v>
                </c:pt>
                <c:pt idx="3">
                  <c:v>31598</c:v>
                </c:pt>
                <c:pt idx="4">
                  <c:v>31599</c:v>
                </c:pt>
                <c:pt idx="5">
                  <c:v>32336</c:v>
                </c:pt>
                <c:pt idx="6">
                  <c:v>32410.5</c:v>
                </c:pt>
                <c:pt idx="7">
                  <c:v>33245.5</c:v>
                </c:pt>
              </c:numCache>
            </c:numRef>
          </c:xVal>
          <c:yVal>
            <c:numRef>
              <c:f>'C'!$K$21:$K$966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52-4893-9F75-2FEE62D4E6A2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31254</c:v>
                </c:pt>
                <c:pt idx="2">
                  <c:v>31510</c:v>
                </c:pt>
                <c:pt idx="3">
                  <c:v>31598</c:v>
                </c:pt>
                <c:pt idx="4">
                  <c:v>31599</c:v>
                </c:pt>
                <c:pt idx="5">
                  <c:v>32336</c:v>
                </c:pt>
                <c:pt idx="6">
                  <c:v>32410.5</c:v>
                </c:pt>
                <c:pt idx="7">
                  <c:v>33245.5</c:v>
                </c:pt>
              </c:numCache>
            </c:numRef>
          </c:xVal>
          <c:yVal>
            <c:numRef>
              <c:f>'C'!$L$21:$L$966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52-4893-9F75-2FEE62D4E6A2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31254</c:v>
                </c:pt>
                <c:pt idx="2">
                  <c:v>31510</c:v>
                </c:pt>
                <c:pt idx="3">
                  <c:v>31598</c:v>
                </c:pt>
                <c:pt idx="4">
                  <c:v>31599</c:v>
                </c:pt>
                <c:pt idx="5">
                  <c:v>32336</c:v>
                </c:pt>
                <c:pt idx="6">
                  <c:v>32410.5</c:v>
                </c:pt>
                <c:pt idx="7">
                  <c:v>33245.5</c:v>
                </c:pt>
              </c:numCache>
            </c:numRef>
          </c:xVal>
          <c:yVal>
            <c:numRef>
              <c:f>'C'!$M$21:$M$966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52-4893-9F75-2FEE62D4E6A2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31254</c:v>
                </c:pt>
                <c:pt idx="2">
                  <c:v>31510</c:v>
                </c:pt>
                <c:pt idx="3">
                  <c:v>31598</c:v>
                </c:pt>
                <c:pt idx="4">
                  <c:v>31599</c:v>
                </c:pt>
                <c:pt idx="5">
                  <c:v>32336</c:v>
                </c:pt>
                <c:pt idx="6">
                  <c:v>32410.5</c:v>
                </c:pt>
                <c:pt idx="7">
                  <c:v>33245.5</c:v>
                </c:pt>
              </c:numCache>
            </c:numRef>
          </c:xVal>
          <c:yVal>
            <c:numRef>
              <c:f>'C'!$N$21:$N$966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52-4893-9F75-2FEE62D4E6A2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31254</c:v>
                </c:pt>
                <c:pt idx="2">
                  <c:v>31510</c:v>
                </c:pt>
                <c:pt idx="3">
                  <c:v>31598</c:v>
                </c:pt>
                <c:pt idx="4">
                  <c:v>31599</c:v>
                </c:pt>
                <c:pt idx="5">
                  <c:v>32336</c:v>
                </c:pt>
                <c:pt idx="6">
                  <c:v>32410.5</c:v>
                </c:pt>
                <c:pt idx="7">
                  <c:v>33245.5</c:v>
                </c:pt>
              </c:numCache>
            </c:numRef>
          </c:xVal>
          <c:yVal>
            <c:numRef>
              <c:f>'C'!$O$21:$O$966</c:f>
              <c:numCache>
                <c:formatCode>General</c:formatCode>
                <c:ptCount val="946"/>
                <c:pt idx="0">
                  <c:v>1.6876270449898891</c:v>
                </c:pt>
                <c:pt idx="1">
                  <c:v>8.0214724972631934E-2</c:v>
                </c:pt>
                <c:pt idx="2">
                  <c:v>6.7048488525315753E-2</c:v>
                </c:pt>
                <c:pt idx="3">
                  <c:v>6.2522594746550864E-2</c:v>
                </c:pt>
                <c:pt idx="4">
                  <c:v>6.2471164135428525E-2</c:v>
                </c:pt>
                <c:pt idx="5">
                  <c:v>2.4566803738272469E-2</c:v>
                </c:pt>
                <c:pt idx="6">
                  <c:v>2.0735223209658926E-2</c:v>
                </c:pt>
                <c:pt idx="7">
                  <c:v>-2.2209337077485403E-2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52-4893-9F75-2FEE62D4E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416744"/>
        <c:axId val="1"/>
      </c:scatterChart>
      <c:valAx>
        <c:axId val="390416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1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770614699010764"/>
          <c:y val="0.91975600272188196"/>
          <c:w val="0.90145463642569723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276225</xdr:colOff>
      <xdr:row>18</xdr:row>
      <xdr:rowOff>28575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E6C0AEE2-5F05-D8BB-DD9A-5167122B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19050</xdr:rowOff>
    </xdr:from>
    <xdr:to>
      <xdr:col>27</xdr:col>
      <xdr:colOff>95250</xdr:colOff>
      <xdr:row>18</xdr:row>
      <xdr:rowOff>28575</xdr:rowOff>
    </xdr:to>
    <xdr:graphicFrame macro="">
      <xdr:nvGraphicFramePr>
        <xdr:cNvPr id="56324" name="Chart 2">
          <a:extLst>
            <a:ext uri="{FF2B5EF4-FFF2-40B4-BE49-F238E27FC236}">
              <a16:creationId xmlns:a16="http://schemas.microsoft.com/office/drawing/2014/main" id="{F5193865-9766-15D8-291A-D23C5C291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19050</xdr:rowOff>
    </xdr:from>
    <xdr:to>
      <xdr:col>14</xdr:col>
      <xdr:colOff>200025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3430CB-D3D9-E6C8-962C-B36080CDA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19050</xdr:rowOff>
    </xdr:from>
    <xdr:to>
      <xdr:col>14</xdr:col>
      <xdr:colOff>200025</xdr:colOff>
      <xdr:row>18</xdr:row>
      <xdr:rowOff>57150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ACD35B55-B68D-F4B8-C6BC-A6FBB8477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19050</xdr:rowOff>
    </xdr:from>
    <xdr:to>
      <xdr:col>14</xdr:col>
      <xdr:colOff>200025</xdr:colOff>
      <xdr:row>18</xdr:row>
      <xdr:rowOff>57150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BA236642-C19D-F487-D38F-4C191202E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konkoly.hu/cgi-bin/IBVS?5583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bav-astro.de/sfs/BAVM_link.php?BAVMnr=17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34"/>
  <sheetViews>
    <sheetView tabSelected="1" workbookViewId="0">
      <selection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25</v>
      </c>
      <c r="B2" s="11" t="s">
        <v>29</v>
      </c>
    </row>
    <row r="3" spans="1:6" ht="13.5" thickBot="1"/>
    <row r="4" spans="1:6" ht="13.5" thickBot="1">
      <c r="A4" s="8" t="s">
        <v>0</v>
      </c>
      <c r="C4" s="12">
        <v>23352.334999999999</v>
      </c>
      <c r="D4" s="13">
        <v>0.89961000000000002</v>
      </c>
    </row>
    <row r="5" spans="1:6">
      <c r="A5" s="29" t="s">
        <v>43</v>
      </c>
      <c r="B5" s="27"/>
      <c r="C5" s="30">
        <v>-9.5</v>
      </c>
      <c r="D5" s="27" t="s">
        <v>44</v>
      </c>
    </row>
    <row r="6" spans="1:6">
      <c r="A6" s="8" t="s">
        <v>1</v>
      </c>
    </row>
    <row r="7" spans="1:6">
      <c r="A7" t="s">
        <v>2</v>
      </c>
      <c r="C7">
        <f>+C4</f>
        <v>23352.334999999999</v>
      </c>
    </row>
    <row r="8" spans="1:6">
      <c r="A8" t="s">
        <v>3</v>
      </c>
      <c r="C8">
        <v>0.89951219407109773</v>
      </c>
    </row>
    <row r="9" spans="1:6">
      <c r="A9" s="42" t="s">
        <v>49</v>
      </c>
      <c r="B9" s="43">
        <v>21</v>
      </c>
      <c r="C9" s="32" t="str">
        <f>"F"&amp;B9</f>
        <v>F21</v>
      </c>
      <c r="D9" s="22" t="str">
        <f>"G"&amp;B9</f>
        <v>G21</v>
      </c>
    </row>
    <row r="10" spans="1:6" ht="13.5" thickBot="1">
      <c r="A10" s="27"/>
      <c r="B10" s="27"/>
      <c r="C10" s="7" t="s">
        <v>20</v>
      </c>
      <c r="D10" s="7" t="s">
        <v>21</v>
      </c>
      <c r="E10" s="27"/>
    </row>
    <row r="11" spans="1:6">
      <c r="A11" s="27" t="s">
        <v>15</v>
      </c>
      <c r="B11" s="27"/>
      <c r="C11" s="31">
        <f ca="1">INTERCEPT(INDIRECT($D$9):G992,INDIRECT($C$9):F992)</f>
        <v>0.12013469881916966</v>
      </c>
      <c r="D11" s="6"/>
      <c r="E11" s="27"/>
    </row>
    <row r="12" spans="1:6">
      <c r="A12" s="27" t="s">
        <v>16</v>
      </c>
      <c r="B12" s="27"/>
      <c r="C12" s="31">
        <f ca="1">SLOPE(INDIRECT($D$9):G992,INDIRECT($C$9):F992)</f>
        <v>-1.2446986966249073E-5</v>
      </c>
      <c r="D12" s="6"/>
      <c r="E12" s="27"/>
    </row>
    <row r="13" spans="1:6">
      <c r="A13" s="27" t="s">
        <v>19</v>
      </c>
      <c r="B13" s="27"/>
      <c r="C13" s="6" t="s">
        <v>31</v>
      </c>
    </row>
    <row r="14" spans="1:6">
      <c r="A14" s="27"/>
      <c r="B14" s="27"/>
      <c r="C14" s="27"/>
    </row>
    <row r="15" spans="1:6">
      <c r="A15" s="33" t="s">
        <v>17</v>
      </c>
      <c r="B15" s="27"/>
      <c r="C15" s="34">
        <f ca="1">(C7+C11)+(C8+C12)*INT(MAX(F21:F3533))</f>
        <v>54922.197758110582</v>
      </c>
      <c r="E15" s="35" t="s">
        <v>52</v>
      </c>
      <c r="F15" s="30">
        <v>1</v>
      </c>
    </row>
    <row r="16" spans="1:6">
      <c r="A16" s="37" t="s">
        <v>4</v>
      </c>
      <c r="B16" s="27"/>
      <c r="C16" s="38">
        <f ca="1">+C8+C12</f>
        <v>0.8994997470841315</v>
      </c>
      <c r="E16" s="35" t="s">
        <v>45</v>
      </c>
      <c r="F16" s="36">
        <f ca="1">NOW()+15018.5+$C$5/24</f>
        <v>60339.82009606481</v>
      </c>
    </row>
    <row r="17" spans="1:17" ht="13.5" thickBot="1">
      <c r="A17" s="35" t="s">
        <v>47</v>
      </c>
      <c r="B17" s="27"/>
      <c r="C17" s="27">
        <f>COUNT(C21:C2191)</f>
        <v>13</v>
      </c>
      <c r="E17" s="35" t="s">
        <v>53</v>
      </c>
      <c r="F17" s="36">
        <f ca="1">ROUND(2*(F16-$C$7)/$C$8,0)/2+F15</f>
        <v>41120.5</v>
      </c>
    </row>
    <row r="18" spans="1:17" ht="14.25" thickTop="1" thickBot="1">
      <c r="A18" s="37" t="s">
        <v>5</v>
      </c>
      <c r="B18" s="27"/>
      <c r="C18" s="40">
        <f ca="1">+C15</f>
        <v>54922.197758110582</v>
      </c>
      <c r="D18" s="41">
        <f ca="1">+C16</f>
        <v>0.8994997470841315</v>
      </c>
      <c r="E18" s="35" t="s">
        <v>46</v>
      </c>
      <c r="F18" s="22">
        <f ca="1">ROUND(2*(F16-$C$15)/$C$16,0)/2+F15</f>
        <v>6024</v>
      </c>
    </row>
    <row r="19" spans="1:17" ht="13.5" thickTop="1">
      <c r="E19" s="35" t="s">
        <v>48</v>
      </c>
      <c r="F19" s="39">
        <f ca="1">+$C$15+$C$16*F18-15018.5-$C$5/24</f>
        <v>45322.680067878726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61</v>
      </c>
      <c r="I20" s="10" t="s">
        <v>64</v>
      </c>
      <c r="J20" s="10" t="s">
        <v>58</v>
      </c>
      <c r="K20" s="10" t="s">
        <v>51</v>
      </c>
      <c r="L20" s="10" t="s">
        <v>27</v>
      </c>
      <c r="M20" s="10" t="s">
        <v>28</v>
      </c>
      <c r="N20" s="10" t="s">
        <v>32</v>
      </c>
      <c r="O20" s="10" t="s">
        <v>23</v>
      </c>
      <c r="P20" s="9" t="s">
        <v>22</v>
      </c>
      <c r="Q20" s="7" t="s">
        <v>14</v>
      </c>
    </row>
    <row r="21" spans="1:17">
      <c r="A21" s="14" t="s">
        <v>12</v>
      </c>
      <c r="B21" s="15" t="s">
        <v>30</v>
      </c>
      <c r="C21" s="14">
        <f>+C4</f>
        <v>23352.334999999999</v>
      </c>
      <c r="D21" s="14" t="s">
        <v>31</v>
      </c>
      <c r="E21">
        <f t="shared" ref="E21:E33" si="0">+(C21-C$7)/C$8</f>
        <v>0</v>
      </c>
      <c r="F21">
        <f>ROUND(2*E21,0)/2</f>
        <v>0</v>
      </c>
      <c r="H21">
        <v>0</v>
      </c>
      <c r="O21">
        <f t="shared" ref="O21:O33" ca="1" si="1">+C$11+C$12*$F21</f>
        <v>0.12013469881916966</v>
      </c>
      <c r="Q21" s="2">
        <f t="shared" ref="Q21:Q33" si="2">+C21-15018.5</f>
        <v>8333.8349999999991</v>
      </c>
    </row>
    <row r="22" spans="1:17">
      <c r="A22" s="67" t="s">
        <v>71</v>
      </c>
      <c r="B22" s="68" t="s">
        <v>37</v>
      </c>
      <c r="C22" s="67">
        <v>51358.392999999996</v>
      </c>
      <c r="D22" s="67" t="s">
        <v>64</v>
      </c>
      <c r="E22">
        <f t="shared" si="0"/>
        <v>31134.717444182184</v>
      </c>
      <c r="F22">
        <f>ROUND(2*E22,0)/2+0.5</f>
        <v>31135</v>
      </c>
      <c r="G22">
        <f t="shared" ref="G22:G33" si="3">+C22-(C$7+F22*C$8)</f>
        <v>-0.25416240363119869</v>
      </c>
      <c r="I22">
        <f>+G22</f>
        <v>-0.25416240363119869</v>
      </c>
      <c r="O22">
        <f t="shared" ca="1" si="1"/>
        <v>-0.26740224037499521</v>
      </c>
      <c r="Q22" s="2">
        <f t="shared" si="2"/>
        <v>36339.892999999996</v>
      </c>
    </row>
    <row r="23" spans="1:17">
      <c r="A23" s="17" t="s">
        <v>34</v>
      </c>
      <c r="B23" s="18" t="s">
        <v>30</v>
      </c>
      <c r="C23" s="20">
        <v>51467.212299999999</v>
      </c>
      <c r="D23" s="20">
        <v>1.34E-2</v>
      </c>
      <c r="E23">
        <f t="shared" si="0"/>
        <v>31255.693347251934</v>
      </c>
      <c r="F23">
        <f t="shared" ref="F23:F33" si="4">ROUND(2*E23,0)/2+0.5</f>
        <v>31256</v>
      </c>
      <c r="G23">
        <f t="shared" si="3"/>
        <v>-0.27583788623451255</v>
      </c>
      <c r="K23" s="23">
        <f>G23</f>
        <v>-0.27583788623451255</v>
      </c>
      <c r="O23">
        <f t="shared" ca="1" si="1"/>
        <v>-0.26890832579791135</v>
      </c>
      <c r="Q23" s="2">
        <f t="shared" si="2"/>
        <v>36448.712299999999</v>
      </c>
    </row>
    <row r="24" spans="1:17">
      <c r="A24" s="17" t="s">
        <v>35</v>
      </c>
      <c r="B24" s="18" t="s">
        <v>30</v>
      </c>
      <c r="C24" s="20">
        <v>51697.486499999999</v>
      </c>
      <c r="D24" s="20">
        <v>2.3E-3</v>
      </c>
      <c r="E24">
        <f t="shared" si="0"/>
        <v>31511.692322605235</v>
      </c>
      <c r="F24">
        <f t="shared" si="4"/>
        <v>31512</v>
      </c>
      <c r="G24">
        <f t="shared" si="3"/>
        <v>-0.27675956842722371</v>
      </c>
      <c r="K24" s="23">
        <f>G24</f>
        <v>-0.27675956842722371</v>
      </c>
      <c r="O24">
        <f t="shared" ca="1" si="1"/>
        <v>-0.27209475446127113</v>
      </c>
      <c r="Q24" s="2">
        <f t="shared" si="2"/>
        <v>36678.986499999999</v>
      </c>
    </row>
    <row r="25" spans="1:17">
      <c r="A25" s="17" t="s">
        <v>35</v>
      </c>
      <c r="B25" s="44" t="s">
        <v>30</v>
      </c>
      <c r="C25" s="45">
        <v>51776.6348</v>
      </c>
      <c r="D25" s="45">
        <v>7.4999999999999997E-3</v>
      </c>
      <c r="E25">
        <f t="shared" si="0"/>
        <v>31599.682569454235</v>
      </c>
      <c r="F25">
        <f t="shared" si="4"/>
        <v>31600</v>
      </c>
      <c r="G25">
        <f t="shared" si="3"/>
        <v>-0.28553264668880729</v>
      </c>
      <c r="K25" s="23">
        <f>G25</f>
        <v>-0.28553264668880729</v>
      </c>
      <c r="O25">
        <f t="shared" ca="1" si="1"/>
        <v>-0.27319008931430105</v>
      </c>
      <c r="Q25" s="2">
        <f t="shared" si="2"/>
        <v>36758.1348</v>
      </c>
    </row>
    <row r="26" spans="1:17">
      <c r="A26" s="17" t="s">
        <v>35</v>
      </c>
      <c r="B26" s="44" t="s">
        <v>30</v>
      </c>
      <c r="C26" s="45">
        <v>51777.548999999999</v>
      </c>
      <c r="D26" s="45">
        <v>7.0000000000000001E-3</v>
      </c>
      <c r="E26">
        <f t="shared" si="0"/>
        <v>31600.698898088827</v>
      </c>
      <c r="F26">
        <f t="shared" si="4"/>
        <v>31601</v>
      </c>
      <c r="G26">
        <f t="shared" si="3"/>
        <v>-0.2708448407574906</v>
      </c>
      <c r="K26" s="23">
        <f>G26</f>
        <v>-0.2708448407574906</v>
      </c>
      <c r="O26">
        <f t="shared" ca="1" si="1"/>
        <v>-0.27320253630126728</v>
      </c>
      <c r="Q26" s="2">
        <f t="shared" si="2"/>
        <v>36759.048999999999</v>
      </c>
    </row>
    <row r="27" spans="1:17">
      <c r="A27" s="17" t="s">
        <v>50</v>
      </c>
      <c r="B27" s="46" t="s">
        <v>30</v>
      </c>
      <c r="C27" s="17">
        <v>52127.445500000002</v>
      </c>
      <c r="D27" s="17" t="s">
        <v>51</v>
      </c>
      <c r="E27">
        <f t="shared" si="0"/>
        <v>31989.683619259096</v>
      </c>
      <c r="F27">
        <f t="shared" si="4"/>
        <v>31990</v>
      </c>
      <c r="G27">
        <f t="shared" si="3"/>
        <v>-0.28458833441254683</v>
      </c>
      <c r="K27">
        <f>+G27</f>
        <v>-0.28458833441254683</v>
      </c>
      <c r="O27">
        <f t="shared" ca="1" si="1"/>
        <v>-0.27804441423113818</v>
      </c>
      <c r="Q27" s="2">
        <f t="shared" si="2"/>
        <v>37108.945500000002</v>
      </c>
    </row>
    <row r="28" spans="1:17">
      <c r="A28" s="17" t="s">
        <v>50</v>
      </c>
      <c r="B28" s="46" t="s">
        <v>30</v>
      </c>
      <c r="C28" s="17">
        <v>52413.4951</v>
      </c>
      <c r="D28" s="17" t="s">
        <v>51</v>
      </c>
      <c r="E28">
        <f t="shared" si="0"/>
        <v>32307.688869088302</v>
      </c>
      <c r="F28">
        <f t="shared" si="4"/>
        <v>32308</v>
      </c>
      <c r="G28">
        <f t="shared" si="3"/>
        <v>-0.27986604902253021</v>
      </c>
      <c r="K28">
        <f>+G28</f>
        <v>-0.27986604902253021</v>
      </c>
      <c r="O28">
        <f t="shared" ca="1" si="1"/>
        <v>-0.2820025560864054</v>
      </c>
      <c r="Q28" s="2">
        <f t="shared" si="2"/>
        <v>37394.9951</v>
      </c>
    </row>
    <row r="29" spans="1:17">
      <c r="A29" s="45" t="s">
        <v>36</v>
      </c>
      <c r="B29" s="44" t="s">
        <v>30</v>
      </c>
      <c r="C29" s="45">
        <v>52440.481699999997</v>
      </c>
      <c r="D29" s="45">
        <v>2.3999999999999998E-3</v>
      </c>
      <c r="E29">
        <f t="shared" si="0"/>
        <v>32337.690241140703</v>
      </c>
      <c r="F29">
        <f t="shared" si="4"/>
        <v>32338</v>
      </c>
      <c r="G29">
        <f t="shared" si="3"/>
        <v>-0.27863187116599875</v>
      </c>
      <c r="K29">
        <f>+G29</f>
        <v>-0.27863187116599875</v>
      </c>
      <c r="O29">
        <f t="shared" ca="1" si="1"/>
        <v>-0.28237596569539286</v>
      </c>
      <c r="Q29" s="2">
        <f t="shared" si="2"/>
        <v>37421.981699999997</v>
      </c>
    </row>
    <row r="30" spans="1:17">
      <c r="A30" s="45" t="s">
        <v>36</v>
      </c>
      <c r="B30" s="44" t="s">
        <v>37</v>
      </c>
      <c r="C30" s="45">
        <v>52507.498800000001</v>
      </c>
      <c r="D30" s="45">
        <v>8.5000000000000006E-3</v>
      </c>
      <c r="E30">
        <f t="shared" si="0"/>
        <v>32412.194067149656</v>
      </c>
      <c r="F30">
        <f t="shared" si="4"/>
        <v>32412.5</v>
      </c>
      <c r="G30">
        <f t="shared" si="3"/>
        <v>-0.27519032945565414</v>
      </c>
      <c r="K30">
        <f>+G30</f>
        <v>-0.27519032945565414</v>
      </c>
      <c r="O30">
        <f t="shared" ca="1" si="1"/>
        <v>-0.2833032662243784</v>
      </c>
      <c r="Q30" s="2">
        <f t="shared" si="2"/>
        <v>37488.998800000001</v>
      </c>
    </row>
    <row r="31" spans="1:17">
      <c r="A31" s="47" t="s">
        <v>41</v>
      </c>
      <c r="B31" s="48"/>
      <c r="C31" s="49">
        <v>53258.5772</v>
      </c>
      <c r="D31" s="49">
        <v>1.2999999999999999E-3</v>
      </c>
      <c r="E31">
        <f t="shared" si="0"/>
        <v>33247.178189600178</v>
      </c>
      <c r="F31">
        <f t="shared" si="4"/>
        <v>33247.5</v>
      </c>
      <c r="G31">
        <f t="shared" si="3"/>
        <v>-0.2894723788194824</v>
      </c>
      <c r="J31">
        <f>+G31</f>
        <v>-0.2894723788194824</v>
      </c>
      <c r="O31">
        <f t="shared" ca="1" si="1"/>
        <v>-0.29369650034119643</v>
      </c>
      <c r="Q31" s="2">
        <f t="shared" si="2"/>
        <v>38240.0772</v>
      </c>
    </row>
    <row r="32" spans="1:17">
      <c r="A32" s="17" t="s">
        <v>42</v>
      </c>
      <c r="B32" s="46" t="s">
        <v>30</v>
      </c>
      <c r="C32" s="17">
        <v>53612.526299999998</v>
      </c>
      <c r="D32" s="17">
        <v>3.7000000000000002E-3</v>
      </c>
      <c r="E32">
        <f t="shared" si="0"/>
        <v>33640.668241578307</v>
      </c>
      <c r="F32">
        <f t="shared" si="4"/>
        <v>33641</v>
      </c>
      <c r="G32">
        <f t="shared" si="3"/>
        <v>-0.29842074579937616</v>
      </c>
      <c r="J32">
        <f>+G32</f>
        <v>-0.29842074579937616</v>
      </c>
      <c r="O32">
        <f t="shared" ca="1" si="1"/>
        <v>-0.29859438971241542</v>
      </c>
      <c r="Q32" s="2">
        <f t="shared" si="2"/>
        <v>38594.026299999998</v>
      </c>
    </row>
    <row r="33" spans="1:17">
      <c r="A33" s="50" t="s">
        <v>54</v>
      </c>
      <c r="B33" s="51" t="s">
        <v>37</v>
      </c>
      <c r="C33" s="52">
        <v>54922.644</v>
      </c>
      <c r="D33" s="53">
        <v>6.0000000000000001E-3</v>
      </c>
      <c r="E33">
        <f t="shared" si="0"/>
        <v>35097.143994364429</v>
      </c>
      <c r="F33">
        <f t="shared" si="4"/>
        <v>35097.5</v>
      </c>
      <c r="G33">
        <f t="shared" si="3"/>
        <v>-0.32023141035460867</v>
      </c>
      <c r="J33">
        <f>+G33</f>
        <v>-0.32023141035460867</v>
      </c>
      <c r="O33">
        <f t="shared" ca="1" si="1"/>
        <v>-0.31672342622875721</v>
      </c>
      <c r="Q33" s="2">
        <f t="shared" si="2"/>
        <v>39904.144</v>
      </c>
    </row>
    <row r="34" spans="1:17">
      <c r="A34" s="27"/>
      <c r="B34" s="28"/>
      <c r="C34" s="26"/>
      <c r="D34" s="26"/>
      <c r="Q34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6" sqref="A26:IV2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25</v>
      </c>
      <c r="B2" s="11" t="s">
        <v>29</v>
      </c>
    </row>
    <row r="3" spans="1:4" ht="13.5" thickBot="1"/>
    <row r="4" spans="1:4" ht="13.5" thickBot="1">
      <c r="A4" s="8" t="s">
        <v>0</v>
      </c>
      <c r="C4" s="12">
        <v>23352.334999999999</v>
      </c>
      <c r="D4" s="13">
        <v>0.89961000000000002</v>
      </c>
    </row>
    <row r="5" spans="1:4">
      <c r="D5" s="22" t="s">
        <v>38</v>
      </c>
    </row>
    <row r="6" spans="1:4">
      <c r="A6" s="8" t="s">
        <v>1</v>
      </c>
    </row>
    <row r="7" spans="1:4">
      <c r="A7" t="s">
        <v>2</v>
      </c>
      <c r="C7">
        <f>+C4</f>
        <v>23352.334999999999</v>
      </c>
    </row>
    <row r="8" spans="1:4">
      <c r="A8" t="s">
        <v>3</v>
      </c>
      <c r="C8">
        <f>+D4</f>
        <v>0.89961000000000002</v>
      </c>
    </row>
    <row r="10" spans="1:4" ht="13.5" thickBot="1">
      <c r="C10" s="7" t="s">
        <v>20</v>
      </c>
      <c r="D10" s="7" t="s">
        <v>21</v>
      </c>
    </row>
    <row r="11" spans="1:4">
      <c r="A11" t="s">
        <v>15</v>
      </c>
      <c r="C11">
        <f>INTERCEPT(G21:G981,$F21:$F981)</f>
        <v>-1.3181719970566193E-2</v>
      </c>
      <c r="D11" s="6"/>
    </row>
    <row r="12" spans="1:4">
      <c r="A12" t="s">
        <v>16</v>
      </c>
      <c r="C12">
        <f>SLOPE(G21:G981,$F21:$F981)</f>
        <v>3.9094652265509621E-7</v>
      </c>
      <c r="D12" s="6"/>
    </row>
    <row r="13" spans="1:4">
      <c r="A13" t="s">
        <v>19</v>
      </c>
      <c r="C13" s="6"/>
      <c r="D13" s="6"/>
    </row>
    <row r="14" spans="1:4">
      <c r="A14" t="s">
        <v>24</v>
      </c>
    </row>
    <row r="15" spans="1:4">
      <c r="A15" s="3" t="s">
        <v>17</v>
      </c>
      <c r="C15" s="16">
        <f>+D15+C8/2</f>
        <v>52507.948604999998</v>
      </c>
      <c r="D15" s="19">
        <v>52507.498800000001</v>
      </c>
    </row>
    <row r="16" spans="1:4">
      <c r="A16" s="8" t="s">
        <v>4</v>
      </c>
      <c r="C16">
        <f>+C8+C12</f>
        <v>0.89961039094652273</v>
      </c>
    </row>
    <row r="17" spans="1:17" ht="13.5" thickBot="1"/>
    <row r="18" spans="1:17">
      <c r="A18" s="8" t="s">
        <v>5</v>
      </c>
      <c r="C18" s="4">
        <f>+C15</f>
        <v>52507.948604999998</v>
      </c>
      <c r="D18" s="5">
        <f>+C16</f>
        <v>0.89961039094652273</v>
      </c>
    </row>
    <row r="19" spans="1:17" ht="13.5" thickTop="1">
      <c r="C19">
        <f>COUNT(C21:C2720)</f>
        <v>8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39</v>
      </c>
      <c r="J20" s="10" t="s">
        <v>18</v>
      </c>
      <c r="K20" s="10" t="s">
        <v>26</v>
      </c>
      <c r="L20" s="10" t="s">
        <v>27</v>
      </c>
      <c r="M20" s="10" t="s">
        <v>28</v>
      </c>
      <c r="N20" s="10" t="s">
        <v>32</v>
      </c>
      <c r="O20" s="10" t="s">
        <v>23</v>
      </c>
      <c r="P20" s="9" t="s">
        <v>22</v>
      </c>
      <c r="Q20" s="7" t="s">
        <v>14</v>
      </c>
    </row>
    <row r="21" spans="1:17">
      <c r="A21" s="14" t="s">
        <v>12</v>
      </c>
      <c r="B21" s="15" t="s">
        <v>30</v>
      </c>
      <c r="C21" s="16">
        <f>+C4</f>
        <v>23352.334999999999</v>
      </c>
      <c r="D21" s="15" t="s">
        <v>31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-1.3181719970566193E-2</v>
      </c>
      <c r="Q21" s="2">
        <f>+C21-15018.5</f>
        <v>8333.8349999999991</v>
      </c>
    </row>
    <row r="22" spans="1:17">
      <c r="A22" s="17" t="s">
        <v>34</v>
      </c>
      <c r="B22" s="18" t="s">
        <v>30</v>
      </c>
      <c r="C22" s="19">
        <v>51467.212299999999</v>
      </c>
      <c r="D22" s="18">
        <v>1.34E-2</v>
      </c>
      <c r="E22">
        <f t="shared" ref="E22:E28" si="0">+(C22-C$7)/C$8</f>
        <v>31252.295216816176</v>
      </c>
      <c r="F22">
        <f t="shared" ref="F22:F28" si="1">ROUND(2*E22,0)/2</f>
        <v>31252.5</v>
      </c>
      <c r="G22">
        <f t="shared" ref="G22:G28" si="2">+C22-(C$7+F22*C$8)</f>
        <v>-0.18422500000451691</v>
      </c>
      <c r="I22">
        <f t="shared" ref="I22:I27" si="3">+G22</f>
        <v>-0.18422500000451691</v>
      </c>
      <c r="O22">
        <f t="shared" ref="O22:O28" si="4">+C$11+C$12*$F22</f>
        <v>-9.6366377128779927E-4</v>
      </c>
      <c r="Q22" s="2">
        <f t="shared" ref="Q22:Q28" si="5">+C22-15018.5</f>
        <v>36448.712299999999</v>
      </c>
    </row>
    <row r="23" spans="1:17">
      <c r="A23" s="17" t="s">
        <v>35</v>
      </c>
      <c r="B23" s="18" t="s">
        <v>30</v>
      </c>
      <c r="C23" s="19">
        <v>51697.486499999999</v>
      </c>
      <c r="D23" s="18">
        <v>2.3E-3</v>
      </c>
      <c r="E23">
        <f t="shared" si="0"/>
        <v>31508.266359867052</v>
      </c>
      <c r="F23">
        <f t="shared" si="1"/>
        <v>31508.5</v>
      </c>
      <c r="G23">
        <f t="shared" si="2"/>
        <v>-0.21018500000354834</v>
      </c>
      <c r="I23">
        <f t="shared" si="3"/>
        <v>-0.21018500000354834</v>
      </c>
      <c r="O23">
        <f t="shared" si="4"/>
        <v>-8.6358146148809468E-4</v>
      </c>
      <c r="Q23" s="2">
        <f t="shared" si="5"/>
        <v>36678.986499999999</v>
      </c>
    </row>
    <row r="24" spans="1:17">
      <c r="A24" s="17" t="s">
        <v>35</v>
      </c>
      <c r="B24" s="18" t="s">
        <v>30</v>
      </c>
      <c r="C24" s="19">
        <v>51776.6348</v>
      </c>
      <c r="D24" s="18">
        <v>7.4999999999999997E-3</v>
      </c>
      <c r="E24">
        <f t="shared" si="0"/>
        <v>31596.247040384165</v>
      </c>
      <c r="F24">
        <f t="shared" si="1"/>
        <v>31596</v>
      </c>
      <c r="G24">
        <f t="shared" si="2"/>
        <v>0.22224000000278465</v>
      </c>
      <c r="I24">
        <f t="shared" si="3"/>
        <v>0.22224000000278465</v>
      </c>
      <c r="O24">
        <f t="shared" si="4"/>
        <v>-8.2937364075577266E-4</v>
      </c>
      <c r="Q24" s="2">
        <f t="shared" si="5"/>
        <v>36758.1348</v>
      </c>
    </row>
    <row r="25" spans="1:17">
      <c r="A25" s="17" t="s">
        <v>35</v>
      </c>
      <c r="B25" s="18" t="s">
        <v>30</v>
      </c>
      <c r="C25" s="19">
        <v>51777.548999999999</v>
      </c>
      <c r="D25" s="18">
        <v>7.0000000000000001E-3</v>
      </c>
      <c r="E25">
        <f t="shared" si="0"/>
        <v>31597.263258523137</v>
      </c>
      <c r="F25">
        <f t="shared" si="1"/>
        <v>31597.5</v>
      </c>
      <c r="G25">
        <f t="shared" si="2"/>
        <v>-0.21297500000218861</v>
      </c>
      <c r="I25">
        <f t="shared" si="3"/>
        <v>-0.21297500000218861</v>
      </c>
      <c r="O25">
        <f t="shared" si="4"/>
        <v>-8.2878722097179044E-4</v>
      </c>
      <c r="Q25" s="2">
        <f t="shared" si="5"/>
        <v>36759.048999999999</v>
      </c>
    </row>
    <row r="26" spans="1:17">
      <c r="A26" s="20" t="s">
        <v>36</v>
      </c>
      <c r="B26" s="18" t="s">
        <v>30</v>
      </c>
      <c r="C26" s="19">
        <v>52440.481699999997</v>
      </c>
      <c r="D26" s="18">
        <v>2.3999999999999998E-3</v>
      </c>
      <c r="E26">
        <f t="shared" si="0"/>
        <v>32334.174475606091</v>
      </c>
      <c r="F26">
        <f t="shared" si="1"/>
        <v>32334</v>
      </c>
      <c r="G26">
        <f t="shared" si="2"/>
        <v>0.15696000000025379</v>
      </c>
      <c r="I26">
        <f t="shared" si="3"/>
        <v>0.15696000000025379</v>
      </c>
      <c r="O26">
        <f t="shared" si="4"/>
        <v>-5.4085510703631191E-4</v>
      </c>
      <c r="Q26" s="2">
        <f t="shared" si="5"/>
        <v>37421.981699999997</v>
      </c>
    </row>
    <row r="27" spans="1:17">
      <c r="A27" s="20" t="s">
        <v>36</v>
      </c>
      <c r="B27" s="18" t="s">
        <v>37</v>
      </c>
      <c r="C27" s="19">
        <v>52507.498800000001</v>
      </c>
      <c r="D27" s="21">
        <v>8.5000000000000006E-3</v>
      </c>
      <c r="E27">
        <f t="shared" si="0"/>
        <v>32408.670201531775</v>
      </c>
      <c r="F27">
        <f t="shared" si="1"/>
        <v>32408.5</v>
      </c>
      <c r="G27">
        <f t="shared" si="2"/>
        <v>0.15311500000098022</v>
      </c>
      <c r="I27">
        <f t="shared" si="3"/>
        <v>0.15311500000098022</v>
      </c>
      <c r="O27">
        <f t="shared" si="4"/>
        <v>-5.1172959109850764E-4</v>
      </c>
      <c r="Q27" s="2">
        <f t="shared" si="5"/>
        <v>37488.998800000001</v>
      </c>
    </row>
    <row r="28" spans="1:17">
      <c r="A28" s="24" t="s">
        <v>41</v>
      </c>
      <c r="B28" s="25"/>
      <c r="C28" s="26">
        <v>53258.5772</v>
      </c>
      <c r="D28" s="26">
        <v>1.2999999999999999E-3</v>
      </c>
      <c r="E28">
        <f t="shared" si="0"/>
        <v>33243.563544202487</v>
      </c>
      <c r="F28">
        <f t="shared" si="1"/>
        <v>33243.5</v>
      </c>
      <c r="G28">
        <f t="shared" si="2"/>
        <v>5.7164999998349231E-2</v>
      </c>
      <c r="I28">
        <f>+G28</f>
        <v>5.7164999998349231E-2</v>
      </c>
      <c r="O28">
        <f t="shared" si="4"/>
        <v>-1.8528924468150243E-4</v>
      </c>
      <c r="Q28" s="2">
        <f t="shared" si="5"/>
        <v>38240.0772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8" sqref="A28:IV2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25</v>
      </c>
      <c r="B2" s="11" t="s">
        <v>29</v>
      </c>
    </row>
    <row r="3" spans="1:4" ht="13.5" thickBot="1"/>
    <row r="4" spans="1:4" ht="13.5" thickBot="1">
      <c r="A4" s="8" t="s">
        <v>0</v>
      </c>
      <c r="C4" s="12">
        <v>23352.334999999999</v>
      </c>
      <c r="D4" s="13">
        <v>0.89961000000000002</v>
      </c>
    </row>
    <row r="5" spans="1:4">
      <c r="D5" s="22" t="s">
        <v>38</v>
      </c>
    </row>
    <row r="6" spans="1:4">
      <c r="A6" s="8" t="s">
        <v>1</v>
      </c>
    </row>
    <row r="7" spans="1:4">
      <c r="A7" t="s">
        <v>2</v>
      </c>
      <c r="C7">
        <f>+C4</f>
        <v>23352.334999999999</v>
      </c>
    </row>
    <row r="8" spans="1:4">
      <c r="A8" t="s">
        <v>3</v>
      </c>
      <c r="C8">
        <f>+D4</f>
        <v>0.89961000000000002</v>
      </c>
    </row>
    <row r="10" spans="1:4" ht="13.5" thickBot="1">
      <c r="C10" s="7" t="s">
        <v>20</v>
      </c>
      <c r="D10" s="7" t="s">
        <v>21</v>
      </c>
    </row>
    <row r="11" spans="1:4">
      <c r="A11" t="s">
        <v>15</v>
      </c>
      <c r="C11">
        <f>INTERCEPT(G21:G981,$F21:$F981)</f>
        <v>3.776546413416741</v>
      </c>
      <c r="D11" s="6"/>
    </row>
    <row r="12" spans="1:4">
      <c r="A12" t="s">
        <v>16</v>
      </c>
      <c r="C12">
        <f>SLOPE(G21:G981,$F21:$F981)</f>
        <v>-1.1187719919427918E-4</v>
      </c>
      <c r="D12" s="6"/>
    </row>
    <row r="13" spans="1:4">
      <c r="A13" t="s">
        <v>19</v>
      </c>
      <c r="C13" s="6"/>
      <c r="D13" s="6"/>
    </row>
    <row r="14" spans="1:4">
      <c r="A14" t="s">
        <v>24</v>
      </c>
    </row>
    <row r="15" spans="1:4">
      <c r="A15" s="3" t="s">
        <v>17</v>
      </c>
      <c r="C15" s="16">
        <f>+D15+C8/2</f>
        <v>52507.948604999998</v>
      </c>
      <c r="D15" s="19">
        <v>52507.498800000001</v>
      </c>
    </row>
    <row r="16" spans="1:4">
      <c r="A16" s="8" t="s">
        <v>4</v>
      </c>
      <c r="C16">
        <f>+C8+C12</f>
        <v>0.89949812280080577</v>
      </c>
    </row>
    <row r="17" spans="1:17" ht="13.5" thickBot="1"/>
    <row r="18" spans="1:17">
      <c r="A18" s="8" t="s">
        <v>5</v>
      </c>
      <c r="C18" s="4">
        <f>+C15</f>
        <v>52507.948604999998</v>
      </c>
      <c r="D18" s="5">
        <f>+C16</f>
        <v>0.89949812280080577</v>
      </c>
    </row>
    <row r="19" spans="1:17" ht="13.5" thickTop="1">
      <c r="C19">
        <f>COUNT(C21:C2720)</f>
        <v>8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39</v>
      </c>
      <c r="J20" s="10" t="s">
        <v>18</v>
      </c>
      <c r="K20" s="10" t="s">
        <v>26</v>
      </c>
      <c r="L20" s="10" t="s">
        <v>27</v>
      </c>
      <c r="M20" s="10" t="s">
        <v>28</v>
      </c>
      <c r="N20" s="10" t="s">
        <v>32</v>
      </c>
      <c r="O20" s="10" t="s">
        <v>23</v>
      </c>
      <c r="P20" s="9" t="s">
        <v>22</v>
      </c>
      <c r="Q20" s="7" t="s">
        <v>14</v>
      </c>
    </row>
    <row r="21" spans="1:17">
      <c r="A21" s="14" t="s">
        <v>12</v>
      </c>
      <c r="B21" s="15" t="s">
        <v>30</v>
      </c>
      <c r="C21" s="16">
        <f>+C4</f>
        <v>23352.334999999999</v>
      </c>
      <c r="D21" s="15" t="s">
        <v>31</v>
      </c>
      <c r="E21">
        <f t="shared" ref="E21:E28" si="0">+(C21-C$7)/C$8</f>
        <v>0</v>
      </c>
      <c r="F21">
        <f t="shared" ref="F21:F28" si="1">ROUND(2*E21,0)/2</f>
        <v>0</v>
      </c>
      <c r="H21">
        <v>0</v>
      </c>
      <c r="O21">
        <f t="shared" ref="O21:O28" si="2">+C$11+C$12*$F21</f>
        <v>3.776546413416741</v>
      </c>
      <c r="Q21" s="2">
        <f t="shared" ref="Q21:Q28" si="3">+C21-15018.5</f>
        <v>8333.8349999999991</v>
      </c>
    </row>
    <row r="22" spans="1:17">
      <c r="A22" s="17" t="s">
        <v>34</v>
      </c>
      <c r="B22" s="18" t="s">
        <v>30</v>
      </c>
      <c r="C22" s="19">
        <v>51467.212299999999</v>
      </c>
      <c r="D22" s="18">
        <v>1.34E-2</v>
      </c>
      <c r="E22">
        <f t="shared" si="0"/>
        <v>31252.295216816176</v>
      </c>
      <c r="F22">
        <f t="shared" si="1"/>
        <v>31252.5</v>
      </c>
      <c r="I22" s="22">
        <v>-0.18422500000451691</v>
      </c>
      <c r="O22">
        <f t="shared" si="2"/>
        <v>0.28010424559753089</v>
      </c>
      <c r="Q22" s="2">
        <f t="shared" si="3"/>
        <v>36448.712299999999</v>
      </c>
    </row>
    <row r="23" spans="1:17">
      <c r="A23" s="17" t="s">
        <v>35</v>
      </c>
      <c r="B23" s="18" t="s">
        <v>30</v>
      </c>
      <c r="C23" s="19">
        <v>51697.486499999999</v>
      </c>
      <c r="D23" s="18">
        <v>2.3E-3</v>
      </c>
      <c r="E23">
        <f t="shared" si="0"/>
        <v>31508.266359867052</v>
      </c>
      <c r="F23">
        <f t="shared" si="1"/>
        <v>31508.5</v>
      </c>
      <c r="I23" s="22">
        <v>-0.21018500000354834</v>
      </c>
      <c r="O23">
        <f t="shared" si="2"/>
        <v>0.25146368260379548</v>
      </c>
      <c r="Q23" s="2">
        <f t="shared" si="3"/>
        <v>36678.986499999999</v>
      </c>
    </row>
    <row r="24" spans="1:17">
      <c r="A24" s="17" t="s">
        <v>35</v>
      </c>
      <c r="B24" s="18" t="s">
        <v>30</v>
      </c>
      <c r="C24" s="19">
        <v>51776.6348</v>
      </c>
      <c r="D24" s="18">
        <v>7.4999999999999997E-3</v>
      </c>
      <c r="E24">
        <f t="shared" si="0"/>
        <v>31596.247040384165</v>
      </c>
      <c r="F24">
        <f t="shared" si="1"/>
        <v>31596</v>
      </c>
      <c r="I24" s="22">
        <v>0.22224000000278465</v>
      </c>
      <c r="O24">
        <f t="shared" si="2"/>
        <v>0.24167442767429614</v>
      </c>
      <c r="Q24" s="2">
        <f t="shared" si="3"/>
        <v>36758.1348</v>
      </c>
    </row>
    <row r="25" spans="1:17">
      <c r="A25" s="17" t="s">
        <v>35</v>
      </c>
      <c r="B25" s="18" t="s">
        <v>30</v>
      </c>
      <c r="C25" s="19">
        <v>51777.548999999999</v>
      </c>
      <c r="D25" s="18">
        <v>7.0000000000000001E-3</v>
      </c>
      <c r="E25">
        <f t="shared" si="0"/>
        <v>31597.263258523137</v>
      </c>
      <c r="F25">
        <f t="shared" si="1"/>
        <v>31597.5</v>
      </c>
      <c r="I25" s="22">
        <v>-0.21297500000218861</v>
      </c>
      <c r="O25">
        <f t="shared" si="2"/>
        <v>0.24150661187550471</v>
      </c>
      <c r="Q25" s="2">
        <f t="shared" si="3"/>
        <v>36759.048999999999</v>
      </c>
    </row>
    <row r="26" spans="1:17">
      <c r="A26" s="20" t="s">
        <v>36</v>
      </c>
      <c r="B26" s="18" t="s">
        <v>30</v>
      </c>
      <c r="C26" s="19">
        <v>52440.481699999997</v>
      </c>
      <c r="D26" s="18">
        <v>2.3999999999999998E-3</v>
      </c>
      <c r="E26">
        <f t="shared" si="0"/>
        <v>32334.174475606091</v>
      </c>
      <c r="F26">
        <f t="shared" si="1"/>
        <v>32334</v>
      </c>
      <c r="G26">
        <f>+C26-(C$7+F26*C$8)</f>
        <v>0.15696000000025379</v>
      </c>
      <c r="I26">
        <f>+G26</f>
        <v>0.15696000000025379</v>
      </c>
      <c r="O26">
        <f t="shared" si="2"/>
        <v>0.15910905466891778</v>
      </c>
      <c r="Q26" s="2">
        <f t="shared" si="3"/>
        <v>37421.981699999997</v>
      </c>
    </row>
    <row r="27" spans="1:17">
      <c r="A27" s="20" t="s">
        <v>36</v>
      </c>
      <c r="B27" s="18" t="s">
        <v>37</v>
      </c>
      <c r="C27" s="19">
        <v>52507.498800000001</v>
      </c>
      <c r="D27" s="18">
        <v>8.5000000000000006E-3</v>
      </c>
      <c r="E27">
        <f t="shared" si="0"/>
        <v>32408.670201531775</v>
      </c>
      <c r="F27">
        <f t="shared" si="1"/>
        <v>32408.5</v>
      </c>
      <c r="G27">
        <f>+C27-(C$7+F27*C$8)</f>
        <v>0.15311500000098022</v>
      </c>
      <c r="I27">
        <f>+G27</f>
        <v>0.15311500000098022</v>
      </c>
      <c r="O27">
        <f t="shared" si="2"/>
        <v>0.15077420332894409</v>
      </c>
      <c r="Q27" s="2">
        <f t="shared" si="3"/>
        <v>37488.998800000001</v>
      </c>
    </row>
    <row r="28" spans="1:17">
      <c r="A28" s="24" t="s">
        <v>41</v>
      </c>
      <c r="B28" s="25"/>
      <c r="C28" s="26">
        <v>53258.5772</v>
      </c>
      <c r="D28" s="26">
        <v>1.2999999999999999E-3</v>
      </c>
      <c r="E28">
        <f t="shared" si="0"/>
        <v>33243.563544202487</v>
      </c>
      <c r="F28">
        <f t="shared" si="1"/>
        <v>33243.5</v>
      </c>
      <c r="G28">
        <f>+C28-(C$7+F28*C$8)</f>
        <v>5.7164999998349231E-2</v>
      </c>
      <c r="I28">
        <f>+G28</f>
        <v>5.7164999998349231E-2</v>
      </c>
      <c r="O28">
        <f t="shared" si="2"/>
        <v>5.7356742001720917E-2</v>
      </c>
      <c r="Q28" s="2">
        <f t="shared" si="3"/>
        <v>38240.0772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0"/>
  <sheetViews>
    <sheetView workbookViewId="0">
      <selection activeCell="A11" sqref="A11:D11"/>
    </sheetView>
  </sheetViews>
  <sheetFormatPr defaultRowHeight="12.75"/>
  <cols>
    <col min="1" max="1" width="19.7109375" style="26" customWidth="1"/>
    <col min="2" max="2" width="4.42578125" style="27" customWidth="1"/>
    <col min="3" max="3" width="12.7109375" style="26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26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>
      <c r="A1" s="54" t="s">
        <v>55</v>
      </c>
      <c r="I1" s="55" t="s">
        <v>56</v>
      </c>
      <c r="J1" s="56" t="s">
        <v>51</v>
      </c>
    </row>
    <row r="2" spans="1:16">
      <c r="I2" s="57" t="s">
        <v>57</v>
      </c>
      <c r="J2" s="58" t="s">
        <v>58</v>
      </c>
    </row>
    <row r="3" spans="1:16">
      <c r="A3" s="59" t="s">
        <v>59</v>
      </c>
      <c r="I3" s="57" t="s">
        <v>60</v>
      </c>
      <c r="J3" s="58" t="s">
        <v>61</v>
      </c>
    </row>
    <row r="4" spans="1:16">
      <c r="I4" s="57" t="s">
        <v>62</v>
      </c>
      <c r="J4" s="58" t="s">
        <v>61</v>
      </c>
    </row>
    <row r="5" spans="1:16" ht="13.5" thickBot="1">
      <c r="I5" s="60" t="s">
        <v>63</v>
      </c>
      <c r="J5" s="61" t="s">
        <v>64</v>
      </c>
    </row>
    <row r="10" spans="1:16" ht="13.5" thickBot="1"/>
    <row r="11" spans="1:16" ht="12.75" customHeight="1" thickBot="1">
      <c r="A11" s="26" t="str">
        <f t="shared" ref="A11:A22" si="0">P11</f>
        <v> BBS 120 </v>
      </c>
      <c r="B11" s="6" t="str">
        <f t="shared" ref="B11:B22" si="1">IF(H11=INT(H11),"I","II")</f>
        <v>II</v>
      </c>
      <c r="C11" s="26">
        <f t="shared" ref="C11:C22" si="2">1*G11</f>
        <v>51358.392999999996</v>
      </c>
      <c r="D11" s="27" t="str">
        <f t="shared" ref="D11:D22" si="3">VLOOKUP(F11,I$1:J$5,2,FALSE)</f>
        <v>vis</v>
      </c>
      <c r="E11" s="62">
        <f>VLOOKUP(C11,Active!C$21:E$973,3,FALSE)</f>
        <v>31134.717444182184</v>
      </c>
      <c r="F11" s="6" t="s">
        <v>63</v>
      </c>
      <c r="G11" s="27" t="str">
        <f t="shared" ref="G11:G22" si="4">MID(I11,3,LEN(I11)-3)</f>
        <v>51358.393</v>
      </c>
      <c r="H11" s="26">
        <f t="shared" ref="H11:H22" si="5">1*K11</f>
        <v>31131.5</v>
      </c>
      <c r="I11" s="63" t="s">
        <v>65</v>
      </c>
      <c r="J11" s="64" t="s">
        <v>66</v>
      </c>
      <c r="K11" s="63">
        <v>31131.5</v>
      </c>
      <c r="L11" s="63" t="s">
        <v>67</v>
      </c>
      <c r="M11" s="64" t="s">
        <v>68</v>
      </c>
      <c r="N11" s="64" t="s">
        <v>69</v>
      </c>
      <c r="O11" s="65" t="s">
        <v>70</v>
      </c>
      <c r="P11" s="65" t="s">
        <v>71</v>
      </c>
    </row>
    <row r="12" spans="1:16" ht="12.75" customHeight="1" thickBot="1">
      <c r="A12" s="26" t="str">
        <f t="shared" si="0"/>
        <v>IBVS 5263 </v>
      </c>
      <c r="B12" s="6" t="str">
        <f t="shared" si="1"/>
        <v>II</v>
      </c>
      <c r="C12" s="26">
        <f t="shared" si="2"/>
        <v>51467.212299999999</v>
      </c>
      <c r="D12" s="27" t="str">
        <f t="shared" si="3"/>
        <v>vis</v>
      </c>
      <c r="E12" s="62">
        <f>VLOOKUP(C12,Active!C$21:E$973,3,FALSE)</f>
        <v>31255.693347251934</v>
      </c>
      <c r="F12" s="6" t="s">
        <v>63</v>
      </c>
      <c r="G12" s="27" t="str">
        <f t="shared" si="4"/>
        <v>51467.2123</v>
      </c>
      <c r="H12" s="26">
        <f t="shared" si="5"/>
        <v>31252.5</v>
      </c>
      <c r="I12" s="63" t="s">
        <v>72</v>
      </c>
      <c r="J12" s="64" t="s">
        <v>73</v>
      </c>
      <c r="K12" s="63">
        <v>31252.5</v>
      </c>
      <c r="L12" s="63" t="s">
        <v>74</v>
      </c>
      <c r="M12" s="64" t="s">
        <v>68</v>
      </c>
      <c r="N12" s="64" t="s">
        <v>69</v>
      </c>
      <c r="O12" s="65" t="s">
        <v>75</v>
      </c>
      <c r="P12" s="66" t="s">
        <v>76</v>
      </c>
    </row>
    <row r="13" spans="1:16" ht="12.75" customHeight="1" thickBot="1">
      <c r="A13" s="26" t="str">
        <f t="shared" si="0"/>
        <v>IBVS 5287 </v>
      </c>
      <c r="B13" s="6" t="str">
        <f t="shared" si="1"/>
        <v>II</v>
      </c>
      <c r="C13" s="26">
        <f t="shared" si="2"/>
        <v>51697.486499999999</v>
      </c>
      <c r="D13" s="27" t="str">
        <f t="shared" si="3"/>
        <v>vis</v>
      </c>
      <c r="E13" s="62">
        <f>VLOOKUP(C13,Active!C$21:E$973,3,FALSE)</f>
        <v>31511.692322605235</v>
      </c>
      <c r="F13" s="6" t="s">
        <v>63</v>
      </c>
      <c r="G13" s="27" t="str">
        <f t="shared" si="4"/>
        <v>51697.4865</v>
      </c>
      <c r="H13" s="26">
        <f t="shared" si="5"/>
        <v>31508.5</v>
      </c>
      <c r="I13" s="63" t="s">
        <v>77</v>
      </c>
      <c r="J13" s="64" t="s">
        <v>78</v>
      </c>
      <c r="K13" s="63">
        <v>31508.5</v>
      </c>
      <c r="L13" s="63" t="s">
        <v>79</v>
      </c>
      <c r="M13" s="64" t="s">
        <v>68</v>
      </c>
      <c r="N13" s="64" t="s">
        <v>69</v>
      </c>
      <c r="O13" s="65" t="s">
        <v>75</v>
      </c>
      <c r="P13" s="66" t="s">
        <v>80</v>
      </c>
    </row>
    <row r="14" spans="1:16" ht="12.75" customHeight="1" thickBot="1">
      <c r="A14" s="26" t="str">
        <f t="shared" si="0"/>
        <v>IBVS 5287 </v>
      </c>
      <c r="B14" s="6" t="str">
        <f t="shared" si="1"/>
        <v>II</v>
      </c>
      <c r="C14" s="26">
        <f t="shared" si="2"/>
        <v>51776.6348</v>
      </c>
      <c r="D14" s="27" t="str">
        <f t="shared" si="3"/>
        <v>vis</v>
      </c>
      <c r="E14" s="62">
        <f>VLOOKUP(C14,Active!C$21:E$973,3,FALSE)</f>
        <v>31599.682569454235</v>
      </c>
      <c r="F14" s="6" t="s">
        <v>63</v>
      </c>
      <c r="G14" s="27" t="str">
        <f t="shared" si="4"/>
        <v>51776.6348</v>
      </c>
      <c r="H14" s="26">
        <f t="shared" si="5"/>
        <v>31596.5</v>
      </c>
      <c r="I14" s="63" t="s">
        <v>81</v>
      </c>
      <c r="J14" s="64" t="s">
        <v>82</v>
      </c>
      <c r="K14" s="63">
        <v>31596.5</v>
      </c>
      <c r="L14" s="63" t="s">
        <v>83</v>
      </c>
      <c r="M14" s="64" t="s">
        <v>68</v>
      </c>
      <c r="N14" s="64" t="s">
        <v>69</v>
      </c>
      <c r="O14" s="65" t="s">
        <v>75</v>
      </c>
      <c r="P14" s="66" t="s">
        <v>80</v>
      </c>
    </row>
    <row r="15" spans="1:16" ht="12.75" customHeight="1" thickBot="1">
      <c r="A15" s="26" t="str">
        <f t="shared" si="0"/>
        <v>IBVS 5287 </v>
      </c>
      <c r="B15" s="6" t="str">
        <f t="shared" si="1"/>
        <v>II</v>
      </c>
      <c r="C15" s="26">
        <f t="shared" si="2"/>
        <v>51777.548999999999</v>
      </c>
      <c r="D15" s="27" t="str">
        <f t="shared" si="3"/>
        <v>vis</v>
      </c>
      <c r="E15" s="62">
        <f>VLOOKUP(C15,Active!C$21:E$973,3,FALSE)</f>
        <v>31600.698898088827</v>
      </c>
      <c r="F15" s="6" t="s">
        <v>63</v>
      </c>
      <c r="G15" s="27" t="str">
        <f t="shared" si="4"/>
        <v>51777.5490</v>
      </c>
      <c r="H15" s="26">
        <f t="shared" si="5"/>
        <v>31597.5</v>
      </c>
      <c r="I15" s="63" t="s">
        <v>84</v>
      </c>
      <c r="J15" s="64" t="s">
        <v>85</v>
      </c>
      <c r="K15" s="63">
        <v>31597.5</v>
      </c>
      <c r="L15" s="63" t="s">
        <v>86</v>
      </c>
      <c r="M15" s="64" t="s">
        <v>68</v>
      </c>
      <c r="N15" s="64" t="s">
        <v>69</v>
      </c>
      <c r="O15" s="65" t="s">
        <v>75</v>
      </c>
      <c r="P15" s="66" t="s">
        <v>80</v>
      </c>
    </row>
    <row r="16" spans="1:16" ht="12.75" customHeight="1" thickBot="1">
      <c r="A16" s="26" t="str">
        <f t="shared" si="0"/>
        <v>OEJV 0074 </v>
      </c>
      <c r="B16" s="6" t="str">
        <f t="shared" si="1"/>
        <v>II</v>
      </c>
      <c r="C16" s="26">
        <f t="shared" si="2"/>
        <v>52127.445500000002</v>
      </c>
      <c r="D16" s="27" t="str">
        <f t="shared" si="3"/>
        <v>vis</v>
      </c>
      <c r="E16" s="62">
        <f>VLOOKUP(C16,Active!C$21:E$973,3,FALSE)</f>
        <v>31989.683619259096</v>
      </c>
      <c r="F16" s="6" t="s">
        <v>63</v>
      </c>
      <c r="G16" s="27" t="str">
        <f t="shared" si="4"/>
        <v>52127.44550</v>
      </c>
      <c r="H16" s="26">
        <f t="shared" si="5"/>
        <v>31986.5</v>
      </c>
      <c r="I16" s="63" t="s">
        <v>87</v>
      </c>
      <c r="J16" s="64" t="s">
        <v>88</v>
      </c>
      <c r="K16" s="63">
        <v>31986.5</v>
      </c>
      <c r="L16" s="63" t="s">
        <v>89</v>
      </c>
      <c r="M16" s="64" t="s">
        <v>90</v>
      </c>
      <c r="N16" s="64" t="s">
        <v>91</v>
      </c>
      <c r="O16" s="65" t="s">
        <v>92</v>
      </c>
      <c r="P16" s="66" t="s">
        <v>93</v>
      </c>
    </row>
    <row r="17" spans="1:16" ht="12.75" customHeight="1" thickBot="1">
      <c r="A17" s="26" t="str">
        <f t="shared" si="0"/>
        <v>OEJV 0074 </v>
      </c>
      <c r="B17" s="6" t="str">
        <f t="shared" si="1"/>
        <v>II</v>
      </c>
      <c r="C17" s="26">
        <f t="shared" si="2"/>
        <v>52413.4951</v>
      </c>
      <c r="D17" s="27" t="str">
        <f t="shared" si="3"/>
        <v>vis</v>
      </c>
      <c r="E17" s="62">
        <f>VLOOKUP(C17,Active!C$21:E$973,3,FALSE)</f>
        <v>32307.688869088302</v>
      </c>
      <c r="F17" s="6" t="s">
        <v>63</v>
      </c>
      <c r="G17" s="27" t="str">
        <f t="shared" si="4"/>
        <v>52413.49510</v>
      </c>
      <c r="H17" s="26">
        <f t="shared" si="5"/>
        <v>32304.5</v>
      </c>
      <c r="I17" s="63" t="s">
        <v>94</v>
      </c>
      <c r="J17" s="64" t="s">
        <v>95</v>
      </c>
      <c r="K17" s="63">
        <v>32304.5</v>
      </c>
      <c r="L17" s="63" t="s">
        <v>96</v>
      </c>
      <c r="M17" s="64" t="s">
        <v>90</v>
      </c>
      <c r="N17" s="64" t="s">
        <v>91</v>
      </c>
      <c r="O17" s="65" t="s">
        <v>97</v>
      </c>
      <c r="P17" s="66" t="s">
        <v>93</v>
      </c>
    </row>
    <row r="18" spans="1:16" ht="12.75" customHeight="1" thickBot="1">
      <c r="A18" s="26" t="str">
        <f t="shared" si="0"/>
        <v>IBVS 5583 </v>
      </c>
      <c r="B18" s="6" t="str">
        <f t="shared" si="1"/>
        <v>II</v>
      </c>
      <c r="C18" s="26">
        <f t="shared" si="2"/>
        <v>52440.481699999997</v>
      </c>
      <c r="D18" s="27" t="str">
        <f t="shared" si="3"/>
        <v>vis</v>
      </c>
      <c r="E18" s="62">
        <f>VLOOKUP(C18,Active!C$21:E$973,3,FALSE)</f>
        <v>32337.690241140703</v>
      </c>
      <c r="F18" s="6" t="s">
        <v>63</v>
      </c>
      <c r="G18" s="27" t="str">
        <f t="shared" si="4"/>
        <v>52440.4817</v>
      </c>
      <c r="H18" s="26">
        <f t="shared" si="5"/>
        <v>32334.5</v>
      </c>
      <c r="I18" s="63" t="s">
        <v>98</v>
      </c>
      <c r="J18" s="64" t="s">
        <v>99</v>
      </c>
      <c r="K18" s="63">
        <v>32334.5</v>
      </c>
      <c r="L18" s="63" t="s">
        <v>100</v>
      </c>
      <c r="M18" s="64" t="s">
        <v>68</v>
      </c>
      <c r="N18" s="64" t="s">
        <v>69</v>
      </c>
      <c r="O18" s="65" t="s">
        <v>75</v>
      </c>
      <c r="P18" s="66" t="s">
        <v>101</v>
      </c>
    </row>
    <row r="19" spans="1:16" ht="12.75" customHeight="1" thickBot="1">
      <c r="A19" s="26" t="str">
        <f t="shared" si="0"/>
        <v>IBVS 5583 </v>
      </c>
      <c r="B19" s="6" t="str">
        <f t="shared" si="1"/>
        <v>I</v>
      </c>
      <c r="C19" s="26">
        <f t="shared" si="2"/>
        <v>52507.498800000001</v>
      </c>
      <c r="D19" s="27" t="str">
        <f t="shared" si="3"/>
        <v>vis</v>
      </c>
      <c r="E19" s="62">
        <f>VLOOKUP(C19,Active!C$21:E$973,3,FALSE)</f>
        <v>32412.194067149656</v>
      </c>
      <c r="F19" s="6" t="s">
        <v>63</v>
      </c>
      <c r="G19" s="27" t="str">
        <f t="shared" si="4"/>
        <v>52507.4988</v>
      </c>
      <c r="H19" s="26">
        <f t="shared" si="5"/>
        <v>32409</v>
      </c>
      <c r="I19" s="63" t="s">
        <v>102</v>
      </c>
      <c r="J19" s="64" t="s">
        <v>103</v>
      </c>
      <c r="K19" s="63">
        <v>32409</v>
      </c>
      <c r="L19" s="63" t="s">
        <v>104</v>
      </c>
      <c r="M19" s="64" t="s">
        <v>68</v>
      </c>
      <c r="N19" s="64" t="s">
        <v>69</v>
      </c>
      <c r="O19" s="65" t="s">
        <v>75</v>
      </c>
      <c r="P19" s="66" t="s">
        <v>101</v>
      </c>
    </row>
    <row r="20" spans="1:16" ht="12.75" customHeight="1" thickBot="1">
      <c r="A20" s="26" t="str">
        <f t="shared" si="0"/>
        <v>BAVM 173 </v>
      </c>
      <c r="B20" s="6" t="str">
        <f t="shared" si="1"/>
        <v>I</v>
      </c>
      <c r="C20" s="26">
        <f t="shared" si="2"/>
        <v>53258.5772</v>
      </c>
      <c r="D20" s="27" t="str">
        <f t="shared" si="3"/>
        <v>vis</v>
      </c>
      <c r="E20" s="62">
        <f>VLOOKUP(C20,Active!C$21:E$973,3,FALSE)</f>
        <v>33247.178189600178</v>
      </c>
      <c r="F20" s="6" t="s">
        <v>63</v>
      </c>
      <c r="G20" s="27" t="str">
        <f t="shared" si="4"/>
        <v>53258.5772</v>
      </c>
      <c r="H20" s="26">
        <f t="shared" si="5"/>
        <v>33244</v>
      </c>
      <c r="I20" s="63" t="s">
        <v>105</v>
      </c>
      <c r="J20" s="64" t="s">
        <v>106</v>
      </c>
      <c r="K20" s="63">
        <v>33244</v>
      </c>
      <c r="L20" s="63" t="s">
        <v>107</v>
      </c>
      <c r="M20" s="64" t="s">
        <v>68</v>
      </c>
      <c r="N20" s="64" t="s">
        <v>91</v>
      </c>
      <c r="O20" s="65" t="s">
        <v>108</v>
      </c>
      <c r="P20" s="66" t="s">
        <v>109</v>
      </c>
    </row>
    <row r="21" spans="1:16" ht="12.75" customHeight="1" thickBot="1">
      <c r="A21" s="26" t="str">
        <f t="shared" si="0"/>
        <v>BAVM 178 </v>
      </c>
      <c r="B21" s="6" t="str">
        <f t="shared" si="1"/>
        <v>II</v>
      </c>
      <c r="C21" s="26">
        <f t="shared" si="2"/>
        <v>53612.526299999998</v>
      </c>
      <c r="D21" s="27" t="str">
        <f t="shared" si="3"/>
        <v>vis</v>
      </c>
      <c r="E21" s="62">
        <f>VLOOKUP(C21,Active!C$21:E$973,3,FALSE)</f>
        <v>33640.668241578307</v>
      </c>
      <c r="F21" s="6" t="s">
        <v>63</v>
      </c>
      <c r="G21" s="27" t="str">
        <f t="shared" si="4"/>
        <v>53612.5263</v>
      </c>
      <c r="H21" s="26">
        <f t="shared" si="5"/>
        <v>33637.5</v>
      </c>
      <c r="I21" s="63" t="s">
        <v>110</v>
      </c>
      <c r="J21" s="64" t="s">
        <v>111</v>
      </c>
      <c r="K21" s="63">
        <v>33637.5</v>
      </c>
      <c r="L21" s="63" t="s">
        <v>112</v>
      </c>
      <c r="M21" s="64" t="s">
        <v>90</v>
      </c>
      <c r="N21" s="64" t="s">
        <v>91</v>
      </c>
      <c r="O21" s="65" t="s">
        <v>113</v>
      </c>
      <c r="P21" s="66" t="s">
        <v>114</v>
      </c>
    </row>
    <row r="22" spans="1:16" ht="12.75" customHeight="1" thickBot="1">
      <c r="A22" s="26" t="str">
        <f t="shared" si="0"/>
        <v>BAVM 234 </v>
      </c>
      <c r="B22" s="6" t="str">
        <f t="shared" si="1"/>
        <v>I</v>
      </c>
      <c r="C22" s="26">
        <f t="shared" si="2"/>
        <v>54922.644</v>
      </c>
      <c r="D22" s="27" t="str">
        <f t="shared" si="3"/>
        <v>vis</v>
      </c>
      <c r="E22" s="62">
        <f>VLOOKUP(C22,Active!C$21:E$973,3,FALSE)</f>
        <v>35097.143994364429</v>
      </c>
      <c r="F22" s="6" t="s">
        <v>63</v>
      </c>
      <c r="G22" s="27" t="str">
        <f t="shared" si="4"/>
        <v>54922.644</v>
      </c>
      <c r="H22" s="26">
        <f t="shared" si="5"/>
        <v>35094</v>
      </c>
      <c r="I22" s="63" t="s">
        <v>115</v>
      </c>
      <c r="J22" s="64" t="s">
        <v>116</v>
      </c>
      <c r="K22" s="63">
        <v>35094</v>
      </c>
      <c r="L22" s="63" t="s">
        <v>117</v>
      </c>
      <c r="M22" s="64" t="s">
        <v>90</v>
      </c>
      <c r="N22" s="64" t="s">
        <v>91</v>
      </c>
      <c r="O22" s="65" t="s">
        <v>118</v>
      </c>
      <c r="P22" s="66" t="s">
        <v>119</v>
      </c>
    </row>
    <row r="23" spans="1:16">
      <c r="B23" s="6"/>
      <c r="F23" s="6"/>
    </row>
    <row r="24" spans="1:16">
      <c r="B24" s="6"/>
      <c r="F24" s="6"/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</sheetData>
  <phoneticPr fontId="7" type="noConversion"/>
  <hyperlinks>
    <hyperlink ref="P12" r:id="rId1" display="http://www.konkoly.hu/cgi-bin/IBVS?5263"/>
    <hyperlink ref="P13" r:id="rId2" display="http://www.konkoly.hu/cgi-bin/IBVS?5287"/>
    <hyperlink ref="P14" r:id="rId3" display="http://www.konkoly.hu/cgi-bin/IBVS?5287"/>
    <hyperlink ref="P15" r:id="rId4" display="http://www.konkoly.hu/cgi-bin/IBVS?5287"/>
    <hyperlink ref="P16" r:id="rId5" display="http://var.astro.cz/oejv/issues/oejv0074.pdf"/>
    <hyperlink ref="P17" r:id="rId6" display="http://var.astro.cz/oejv/issues/oejv0074.pdf"/>
    <hyperlink ref="P18" r:id="rId7" display="http://www.konkoly.hu/cgi-bin/IBVS?5583"/>
    <hyperlink ref="P19" r:id="rId8" display="http://www.konkoly.hu/cgi-bin/IBVS?5583"/>
    <hyperlink ref="P20" r:id="rId9" display="http://www.bav-astro.de/sfs/BAVM_link.php?BAVMnr=173"/>
    <hyperlink ref="P21" r:id="rId10" display="http://www.bav-astro.de/sfs/BAVM_link.php?BAVMnr=178"/>
    <hyperlink ref="P22" r:id="rId11" display="http://www.bav-astro.de/sfs/BAVM_link.php?BAVMnr=234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8" sqref="A28:IV2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25</v>
      </c>
      <c r="B2" s="11" t="s">
        <v>29</v>
      </c>
    </row>
    <row r="3" spans="1:4" ht="13.5" thickBot="1"/>
    <row r="4" spans="1:4" ht="13.5" thickBot="1">
      <c r="A4" s="8" t="s">
        <v>0</v>
      </c>
      <c r="C4" s="12">
        <v>23352.334999999999</v>
      </c>
      <c r="D4" s="13">
        <v>0.89961000000000002</v>
      </c>
    </row>
    <row r="5" spans="1:4">
      <c r="D5" s="22" t="s">
        <v>38</v>
      </c>
    </row>
    <row r="6" spans="1:4">
      <c r="A6" s="8" t="s">
        <v>1</v>
      </c>
    </row>
    <row r="7" spans="1:4">
      <c r="A7" t="s">
        <v>2</v>
      </c>
      <c r="C7">
        <f>+C4</f>
        <v>23352.334999999999</v>
      </c>
    </row>
    <row r="8" spans="1:4">
      <c r="A8" t="s">
        <v>3</v>
      </c>
      <c r="C8">
        <v>0.89955838926175469</v>
      </c>
    </row>
    <row r="10" spans="1:4" ht="13.5" thickBot="1">
      <c r="C10" s="7" t="s">
        <v>20</v>
      </c>
      <c r="D10" s="7" t="s">
        <v>21</v>
      </c>
    </row>
    <row r="11" spans="1:4">
      <c r="A11" t="s">
        <v>15</v>
      </c>
      <c r="C11">
        <f>INTERCEPT(G21:G981,$F21:$F981)</f>
        <v>1.6876270449898891</v>
      </c>
      <c r="D11" s="6"/>
    </row>
    <row r="12" spans="1:4">
      <c r="A12" t="s">
        <v>16</v>
      </c>
      <c r="C12">
        <f>SLOPE(G21:G981,$F21:$F981)</f>
        <v>-5.1430611122328571E-5</v>
      </c>
      <c r="D12" s="6"/>
    </row>
    <row r="13" spans="1:4">
      <c r="A13" t="s">
        <v>19</v>
      </c>
      <c r="C13" s="6"/>
      <c r="D13" s="6"/>
    </row>
    <row r="14" spans="1:4">
      <c r="A14" t="s">
        <v>24</v>
      </c>
    </row>
    <row r="15" spans="1:4">
      <c r="A15" s="3" t="s">
        <v>17</v>
      </c>
      <c r="C15" s="16">
        <f>+D15+C8/2</f>
        <v>52507.948579194635</v>
      </c>
      <c r="D15" s="19">
        <v>52507.498800000001</v>
      </c>
    </row>
    <row r="16" spans="1:4">
      <c r="A16" s="8" t="s">
        <v>4</v>
      </c>
      <c r="C16">
        <f>+C8+C12</f>
        <v>0.89950695865063235</v>
      </c>
    </row>
    <row r="17" spans="1:17" ht="13.5" thickBot="1"/>
    <row r="18" spans="1:17">
      <c r="A18" s="8" t="s">
        <v>5</v>
      </c>
      <c r="C18" s="4">
        <f>+C15</f>
        <v>52507.948579194635</v>
      </c>
      <c r="D18" s="5">
        <f>+C16</f>
        <v>0.89950695865063235</v>
      </c>
    </row>
    <row r="19" spans="1:17" ht="13.5" thickTop="1">
      <c r="C19">
        <f>COUNT(C21:C2720)</f>
        <v>8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39</v>
      </c>
      <c r="J20" s="10" t="s">
        <v>18</v>
      </c>
      <c r="K20" s="10" t="s">
        <v>26</v>
      </c>
      <c r="L20" s="10" t="s">
        <v>27</v>
      </c>
      <c r="M20" s="10" t="s">
        <v>28</v>
      </c>
      <c r="N20" s="10" t="s">
        <v>32</v>
      </c>
      <c r="O20" s="10" t="s">
        <v>23</v>
      </c>
      <c r="P20" s="9" t="s">
        <v>22</v>
      </c>
      <c r="Q20" s="7" t="s">
        <v>14</v>
      </c>
    </row>
    <row r="21" spans="1:17">
      <c r="A21" s="14" t="s">
        <v>12</v>
      </c>
      <c r="B21" s="15" t="s">
        <v>30</v>
      </c>
      <c r="C21" s="16">
        <f>+C4</f>
        <v>23352.334999999999</v>
      </c>
      <c r="D21" s="15" t="s">
        <v>31</v>
      </c>
      <c r="E21">
        <f t="shared" ref="E21:E28" si="0">+(C21-C$7)/C$8</f>
        <v>0</v>
      </c>
      <c r="F21">
        <f t="shared" ref="F21:F28" si="1">ROUND(2*E21,0)/2</f>
        <v>0</v>
      </c>
      <c r="H21">
        <v>0</v>
      </c>
      <c r="O21">
        <f t="shared" ref="O21:O28" si="2">+C$11+C$12*$F21</f>
        <v>1.6876270449898891</v>
      </c>
      <c r="Q21" s="2">
        <f t="shared" ref="Q21:Q28" si="3">+C21-15018.5</f>
        <v>8333.8349999999991</v>
      </c>
    </row>
    <row r="22" spans="1:17">
      <c r="A22" s="17" t="s">
        <v>34</v>
      </c>
      <c r="B22" s="18" t="s">
        <v>30</v>
      </c>
      <c r="C22" s="19">
        <v>51467.212299999999</v>
      </c>
      <c r="D22" s="18">
        <v>1.34E-2</v>
      </c>
      <c r="E22">
        <f t="shared" si="0"/>
        <v>31254.088267770127</v>
      </c>
      <c r="F22">
        <f t="shared" si="1"/>
        <v>31254</v>
      </c>
      <c r="G22">
        <f t="shared" ref="G22:G28" si="4">+C22-(C$7+F22*C$8)</f>
        <v>7.9402013114304282E-2</v>
      </c>
      <c r="I22" s="23">
        <f>G22</f>
        <v>7.9402013114304282E-2</v>
      </c>
      <c r="O22">
        <f t="shared" si="2"/>
        <v>8.0214724972631934E-2</v>
      </c>
      <c r="Q22" s="2">
        <f t="shared" si="3"/>
        <v>36448.712299999999</v>
      </c>
    </row>
    <row r="23" spans="1:17">
      <c r="A23" s="17" t="s">
        <v>35</v>
      </c>
      <c r="B23" s="18" t="s">
        <v>30</v>
      </c>
      <c r="C23" s="19">
        <v>51697.486499999999</v>
      </c>
      <c r="D23" s="18">
        <v>2.3E-3</v>
      </c>
      <c r="E23">
        <f t="shared" si="0"/>
        <v>31510.07409676004</v>
      </c>
      <c r="F23">
        <f t="shared" si="1"/>
        <v>31510</v>
      </c>
      <c r="G23">
        <f t="shared" si="4"/>
        <v>6.6654362104600295E-2</v>
      </c>
      <c r="I23" s="23">
        <f>G23</f>
        <v>6.6654362104600295E-2</v>
      </c>
      <c r="O23">
        <f t="shared" si="2"/>
        <v>6.7048488525315753E-2</v>
      </c>
      <c r="Q23" s="2">
        <f t="shared" si="3"/>
        <v>36678.986499999999</v>
      </c>
    </row>
    <row r="24" spans="1:17">
      <c r="A24" s="17" t="s">
        <v>35</v>
      </c>
      <c r="B24" s="18" t="s">
        <v>30</v>
      </c>
      <c r="C24" s="19">
        <v>51776.6348</v>
      </c>
      <c r="D24" s="18">
        <v>7.4999999999999997E-3</v>
      </c>
      <c r="E24">
        <f t="shared" si="0"/>
        <v>31598.059825029392</v>
      </c>
      <c r="F24">
        <f t="shared" si="1"/>
        <v>31598</v>
      </c>
      <c r="G24">
        <f t="shared" si="4"/>
        <v>5.3816107072634622E-2</v>
      </c>
      <c r="I24" s="23">
        <f>G24</f>
        <v>5.3816107072634622E-2</v>
      </c>
      <c r="O24">
        <f t="shared" si="2"/>
        <v>6.2522594746550864E-2</v>
      </c>
      <c r="Q24" s="2">
        <f t="shared" si="3"/>
        <v>36758.1348</v>
      </c>
    </row>
    <row r="25" spans="1:17">
      <c r="A25" s="17" t="s">
        <v>35</v>
      </c>
      <c r="B25" s="18" t="s">
        <v>30</v>
      </c>
      <c r="C25" s="19">
        <v>51777.548999999999</v>
      </c>
      <c r="D25" s="18">
        <v>7.0000000000000001E-3</v>
      </c>
      <c r="E25">
        <f t="shared" si="0"/>
        <v>31599.076101472267</v>
      </c>
      <c r="F25">
        <f t="shared" si="1"/>
        <v>31599</v>
      </c>
      <c r="G25">
        <f t="shared" si="4"/>
        <v>6.8457717818091623E-2</v>
      </c>
      <c r="I25" s="23">
        <f>G25</f>
        <v>6.8457717818091623E-2</v>
      </c>
      <c r="O25">
        <f t="shared" si="2"/>
        <v>6.2471164135428525E-2</v>
      </c>
      <c r="Q25" s="2">
        <f t="shared" si="3"/>
        <v>36759.048999999999</v>
      </c>
    </row>
    <row r="26" spans="1:17">
      <c r="A26" s="20" t="s">
        <v>36</v>
      </c>
      <c r="B26" s="18" t="s">
        <v>30</v>
      </c>
      <c r="C26" s="19">
        <v>52440.481699999997</v>
      </c>
      <c r="D26" s="18">
        <v>2.3999999999999998E-3</v>
      </c>
      <c r="E26">
        <f t="shared" si="0"/>
        <v>32336.029597669498</v>
      </c>
      <c r="F26">
        <f t="shared" si="1"/>
        <v>32336</v>
      </c>
      <c r="G26">
        <f t="shared" si="4"/>
        <v>2.6624831902154256E-2</v>
      </c>
      <c r="I26">
        <f>+G26</f>
        <v>2.6624831902154256E-2</v>
      </c>
      <c r="O26">
        <f t="shared" si="2"/>
        <v>2.4566803738272469E-2</v>
      </c>
      <c r="Q26" s="2">
        <f t="shared" si="3"/>
        <v>37421.981699999997</v>
      </c>
    </row>
    <row r="27" spans="1:17">
      <c r="A27" s="20" t="s">
        <v>36</v>
      </c>
      <c r="B27" s="18" t="s">
        <v>37</v>
      </c>
      <c r="C27" s="19">
        <v>52507.498800000001</v>
      </c>
      <c r="D27" s="18">
        <v>8.5000000000000006E-3</v>
      </c>
      <c r="E27">
        <f t="shared" si="0"/>
        <v>32410.529597669502</v>
      </c>
      <c r="F27">
        <f t="shared" si="1"/>
        <v>32410.5</v>
      </c>
      <c r="G27">
        <f t="shared" si="4"/>
        <v>2.6624831902154256E-2</v>
      </c>
      <c r="I27">
        <f>+G27</f>
        <v>2.6624831902154256E-2</v>
      </c>
      <c r="O27">
        <f t="shared" si="2"/>
        <v>2.0735223209658926E-2</v>
      </c>
      <c r="Q27" s="2">
        <f t="shared" si="3"/>
        <v>37488.998800000001</v>
      </c>
    </row>
    <row r="28" spans="1:17">
      <c r="A28" s="24" t="s">
        <v>41</v>
      </c>
      <c r="B28" s="25"/>
      <c r="C28" s="26">
        <v>53258.5772</v>
      </c>
      <c r="D28" s="26">
        <v>1.2999999999999999E-3</v>
      </c>
      <c r="E28">
        <f t="shared" si="0"/>
        <v>33245.470841023794</v>
      </c>
      <c r="F28">
        <f t="shared" si="1"/>
        <v>33245.5</v>
      </c>
      <c r="G28">
        <f t="shared" si="4"/>
        <v>-2.6230201663565822E-2</v>
      </c>
      <c r="I28">
        <f>+G28</f>
        <v>-2.6230201663565822E-2</v>
      </c>
      <c r="O28">
        <f t="shared" si="2"/>
        <v>-2.2209337077485403E-2</v>
      </c>
      <c r="Q28" s="2">
        <f t="shared" si="3"/>
        <v>38240.0772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(old)</vt:lpstr>
      <vt:lpstr>B</vt:lpstr>
      <vt:lpstr>BAV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2024-01-30T06:40:56Z</dcterms:modified>
</cp:coreProperties>
</file>