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75F894-A514-49C7-B585-A0B232EC69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45" i="1"/>
  <c r="Q46" i="1"/>
  <c r="Q47" i="1"/>
  <c r="G13" i="2"/>
  <c r="C13" i="2"/>
  <c r="G12" i="2"/>
  <c r="C12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11" i="2"/>
  <c r="C11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D13" i="2"/>
  <c r="B13" i="2"/>
  <c r="A13" i="2"/>
  <c r="H12" i="2"/>
  <c r="B12" i="2"/>
  <c r="D12" i="2"/>
  <c r="A12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11" i="2"/>
  <c r="B11" i="2"/>
  <c r="D11" i="2"/>
  <c r="A11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Q48" i="1"/>
  <c r="Q49" i="1"/>
  <c r="C7" i="1"/>
  <c r="E21" i="1"/>
  <c r="F21" i="1"/>
  <c r="C8" i="1"/>
  <c r="F16" i="1"/>
  <c r="F17" i="1" s="1"/>
  <c r="C17" i="1"/>
  <c r="Q36" i="1"/>
  <c r="E14" i="2"/>
  <c r="E33" i="2"/>
  <c r="E21" i="2"/>
  <c r="E35" i="2"/>
  <c r="E18" i="2"/>
  <c r="E29" i="2"/>
  <c r="E36" i="2"/>
  <c r="E32" i="2"/>
  <c r="E49" i="1"/>
  <c r="F49" i="1"/>
  <c r="E40" i="1"/>
  <c r="F40" i="1"/>
  <c r="G40" i="1"/>
  <c r="I40" i="1"/>
  <c r="G33" i="1"/>
  <c r="I33" i="1"/>
  <c r="E31" i="1"/>
  <c r="F31" i="1"/>
  <c r="E23" i="1"/>
  <c r="F23" i="1"/>
  <c r="E45" i="1"/>
  <c r="F45" i="1"/>
  <c r="G39" i="1"/>
  <c r="I39" i="1"/>
  <c r="E37" i="1"/>
  <c r="F37" i="1"/>
  <c r="E28" i="1"/>
  <c r="F28" i="1"/>
  <c r="E42" i="1"/>
  <c r="F42" i="1"/>
  <c r="G42" i="1"/>
  <c r="I42" i="1"/>
  <c r="E33" i="1"/>
  <c r="F33" i="1"/>
  <c r="E25" i="1"/>
  <c r="F25" i="1"/>
  <c r="G25" i="1"/>
  <c r="I25" i="1"/>
  <c r="E48" i="1"/>
  <c r="F48" i="1"/>
  <c r="G48" i="1"/>
  <c r="I48" i="1"/>
  <c r="E47" i="1"/>
  <c r="F47" i="1"/>
  <c r="G47" i="1"/>
  <c r="I47" i="1"/>
  <c r="E39" i="1"/>
  <c r="F39" i="1"/>
  <c r="G32" i="1"/>
  <c r="I32" i="1"/>
  <c r="E30" i="1"/>
  <c r="F30" i="1"/>
  <c r="G30" i="1"/>
  <c r="I30" i="1"/>
  <c r="E22" i="1"/>
  <c r="F22" i="1"/>
  <c r="G22" i="1"/>
  <c r="I22" i="1"/>
  <c r="G36" i="1"/>
  <c r="H36" i="1"/>
  <c r="E44" i="1"/>
  <c r="F44" i="1"/>
  <c r="G44" i="1"/>
  <c r="I44" i="1"/>
  <c r="G38" i="1"/>
  <c r="I38" i="1"/>
  <c r="E35" i="1"/>
  <c r="F35" i="1"/>
  <c r="G35" i="1"/>
  <c r="I35" i="1"/>
  <c r="E27" i="1"/>
  <c r="F27" i="1"/>
  <c r="G27" i="1"/>
  <c r="I27" i="1"/>
  <c r="E41" i="1"/>
  <c r="F41" i="1"/>
  <c r="G41" i="1"/>
  <c r="I41" i="1"/>
  <c r="E32" i="1"/>
  <c r="F32" i="1"/>
  <c r="E24" i="1"/>
  <c r="F24" i="1"/>
  <c r="G24" i="1"/>
  <c r="I24" i="1"/>
  <c r="G21" i="1"/>
  <c r="G49" i="1"/>
  <c r="I49" i="1"/>
  <c r="E36" i="1"/>
  <c r="F36" i="1"/>
  <c r="E46" i="1"/>
  <c r="F46" i="1"/>
  <c r="G46" i="1"/>
  <c r="I46" i="1"/>
  <c r="E38" i="1"/>
  <c r="F38" i="1"/>
  <c r="G31" i="1"/>
  <c r="I31" i="1"/>
  <c r="E29" i="1"/>
  <c r="F29" i="1"/>
  <c r="G29" i="1"/>
  <c r="I29" i="1"/>
  <c r="G23" i="1"/>
  <c r="I23" i="1"/>
  <c r="G45" i="1"/>
  <c r="I45" i="1"/>
  <c r="E43" i="1"/>
  <c r="F43" i="1"/>
  <c r="G43" i="1"/>
  <c r="I43" i="1"/>
  <c r="G37" i="1"/>
  <c r="I37" i="1"/>
  <c r="E34" i="1"/>
  <c r="F34" i="1"/>
  <c r="G34" i="1"/>
  <c r="I34" i="1"/>
  <c r="G28" i="1"/>
  <c r="I28" i="1"/>
  <c r="E26" i="1"/>
  <c r="F26" i="1"/>
  <c r="G26" i="1"/>
  <c r="I26" i="1"/>
  <c r="E30" i="2"/>
  <c r="E11" i="2"/>
  <c r="E12" i="2"/>
  <c r="E38" i="2"/>
  <c r="E25" i="2"/>
  <c r="E23" i="2"/>
  <c r="E34" i="2"/>
  <c r="E37" i="2"/>
  <c r="E17" i="2"/>
  <c r="E28" i="2"/>
  <c r="E19" i="2"/>
  <c r="E31" i="2"/>
  <c r="E27" i="2"/>
  <c r="E13" i="2"/>
  <c r="E15" i="2"/>
  <c r="E26" i="2"/>
  <c r="E22" i="2"/>
  <c r="E20" i="2"/>
  <c r="I21" i="1"/>
  <c r="E24" i="2"/>
  <c r="E16" i="2"/>
  <c r="E39" i="2"/>
  <c r="C12" i="1"/>
  <c r="C11" i="1"/>
  <c r="O23" i="1" l="1"/>
  <c r="O29" i="1"/>
  <c r="O35" i="1"/>
  <c r="O25" i="1"/>
  <c r="O33" i="1"/>
  <c r="O40" i="1"/>
  <c r="O46" i="1"/>
  <c r="O36" i="1"/>
  <c r="O49" i="1"/>
  <c r="O32" i="1"/>
  <c r="O34" i="1"/>
  <c r="O41" i="1"/>
  <c r="O37" i="1"/>
  <c r="O43" i="1"/>
  <c r="O48" i="1"/>
  <c r="O45" i="1"/>
  <c r="O21" i="1"/>
  <c r="O27" i="1"/>
  <c r="O31" i="1"/>
  <c r="O38" i="1"/>
  <c r="O44" i="1"/>
  <c r="O42" i="1"/>
  <c r="C15" i="1"/>
  <c r="O24" i="1"/>
  <c r="O22" i="1"/>
  <c r="O30" i="1"/>
  <c r="O28" i="1"/>
  <c r="O39" i="1"/>
  <c r="O47" i="1"/>
  <c r="O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<sst xmlns="http://schemas.openxmlformats.org/spreadsheetml/2006/main" count="343" uniqueCount="154">
  <si>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</si>
  <si>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</si>
  <si>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</si>
  <si>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</si>
  <si>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</si>
  <si>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</si>
  <si>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</si>
  <si>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</si>
  <si>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</si>
  <si>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</si>
  <si>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</si>
  <si>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</si>
  <si>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</si>
  <si>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</si>
  <si>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</si>
  <si>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</si>
  <si>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</si>
  <si>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</si>
  <si>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</si>
  <si>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</si>
  <si>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</si>
  <si>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</si>
  <si>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</si>
  <si>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</si>
  <si>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</si>
  <si>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</si>
  <si>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</si>
  <si>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</si>
  <si>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</si>
  <si>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</si>
  <si>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</si>
  <si>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</si>
  <si>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</si>
  <si>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</si>
  <si>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</si>
  <si>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</si>
  <si>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</si>
  <si>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0001</t>
  </si>
  <si>
    <t>I</t>
  </si>
  <si>
    <t>vis</t>
  </si>
  <si>
    <t>EB/DM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</si>
  <si>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</si>
  <si>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</si>
  <si>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</si>
  <si>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</si>
  <si>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</si>
  <si>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</si>
  <si>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</si>
  <si>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</si>
  <si>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</si>
  <si>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</si>
  <si>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2426811.55 </t>
  </si>
  <si>
    <t> 14.04.1932 01:12 </t>
  </si>
  <si>
    <t> -1.23 </t>
  </si>
  <si>
    <t>P </t>
  </si>
  <si>
    <t> H.-U.Sandig </t>
  </si>
  <si>
    <t> AN 276.177 </t>
  </si>
  <si>
    <t>2426942.37 </t>
  </si>
  <si>
    <t> 22.08.1932 20:52 </t>
  </si>
  <si>
    <t> -1.89 </t>
  </si>
  <si>
    <t>2426951.32 </t>
  </si>
  <si>
    <t> 31.08.1932 19:40 </t>
  </si>
  <si>
    <t> -1.71 </t>
  </si>
  <si>
    <t>2428749.44 </t>
  </si>
  <si>
    <t> 03.08.1937 22:33 </t>
  </si>
  <si>
    <t> -0.56 </t>
  </si>
  <si>
    <t>2429170.29 </t>
  </si>
  <si>
    <t> 28.09.1938 18:57 </t>
  </si>
  <si>
    <t> -0.47 </t>
  </si>
  <si>
    <t>2431152.41 </t>
  </si>
  <si>
    <t> 02.03.1944 21:50 </t>
  </si>
  <si>
    <t> 0.60 </t>
  </si>
  <si>
    <t>V </t>
  </si>
  <si>
    <t> W.Zessewitsch </t>
  </si>
  <si>
    <t> IODE 4.1.275 </t>
  </si>
  <si>
    <t>2433817.45 </t>
  </si>
  <si>
    <t> 19.06.1951 22:48 </t>
  </si>
  <si>
    <t> 0.85 </t>
  </si>
  <si>
    <t> V.M.Tabachnik </t>
  </si>
  <si>
    <t> AC 130.10 </t>
  </si>
  <si>
    <t>2433826.45 </t>
  </si>
  <si>
    <t> 28.06.1951 22:48 </t>
  </si>
  <si>
    <t> 1.09 </t>
  </si>
  <si>
    <t>2433852.46 </t>
  </si>
  <si>
    <t> 24.07.1951 23:02 </t>
  </si>
  <si>
    <t> 0.80 </t>
  </si>
  <si>
    <t>2433861.49 </t>
  </si>
  <si>
    <t> 02.08.1951 23:45 </t>
  </si>
  <si>
    <t> 1.07 </t>
  </si>
  <si>
    <t>2433896.46 </t>
  </si>
  <si>
    <t> 06.09.1951 23:02 </t>
  </si>
  <si>
    <t> 0.97 </t>
  </si>
  <si>
    <t>2433914.33 </t>
  </si>
  <si>
    <t> 24.09.1951 19:55 </t>
  </si>
  <si>
    <t> 1.31 </t>
  </si>
  <si>
    <t>2436805.35 </t>
  </si>
  <si>
    <t> 24.08.1959 20:24 </t>
  </si>
  <si>
    <t> -0.36 </t>
  </si>
  <si>
    <t> G.Romano </t>
  </si>
  <si>
    <t> MSAI 40.392 </t>
  </si>
  <si>
    <t>2436847.44 </t>
  </si>
  <si>
    <t> 05.10.1959 22:33 </t>
  </si>
  <si>
    <t> -2.10 </t>
  </si>
  <si>
    <t> H.Busch </t>
  </si>
  <si>
    <t> HABZ 28 </t>
  </si>
  <si>
    <t>2436867.27 </t>
  </si>
  <si>
    <t> 25.10.1959 18:28 </t>
  </si>
  <si>
    <t> 0.20 </t>
  </si>
  <si>
    <t>2437112.51 </t>
  </si>
  <si>
    <t> 27.06.1960 00:14 </t>
  </si>
  <si>
    <t> 0.00 </t>
  </si>
  <si>
    <t>2437189.40 </t>
  </si>
  <si>
    <t> 11.09.1960 21:36 </t>
  </si>
  <si>
    <t> -2.00 </t>
  </si>
  <si>
    <t>2437200.37 </t>
  </si>
  <si>
    <t> 22.09.1960 20:52 </t>
  </si>
  <si>
    <t>2437489.53 </t>
  </si>
  <si>
    <t> 09.07.1961 00:43 </t>
  </si>
  <si>
    <t> 0.09 </t>
  </si>
  <si>
    <t>2437524.48 </t>
  </si>
  <si>
    <t> 12.08.1961 23:31 </t>
  </si>
  <si>
    <t> -0.02 </t>
  </si>
  <si>
    <t>2437542.40 </t>
  </si>
  <si>
    <t> 30.08.1961 21:36 </t>
  </si>
  <si>
    <t> 0.37 </t>
  </si>
  <si>
    <t>2437544.42 </t>
  </si>
  <si>
    <t> 01.09.1961 22:04 </t>
  </si>
  <si>
    <t> 2.39 </t>
  </si>
  <si>
    <t>2437579.39 </t>
  </si>
  <si>
    <t> 06.10.1961 21:21 </t>
  </si>
  <si>
    <t> 2.30 </t>
  </si>
  <si>
    <t>2440119.34 </t>
  </si>
  <si>
    <t> 19.09.1968 20:09 </t>
  </si>
  <si>
    <t> 0.18 </t>
  </si>
  <si>
    <t>2440145.34 </t>
  </si>
  <si>
    <t> 15.10.1968 20:09 </t>
  </si>
  <si>
    <t> -0.11 </t>
  </si>
  <si>
    <t>2452863.00 </t>
  </si>
  <si>
    <t> 11.08.2003 12:00 </t>
  </si>
  <si>
    <t> -1.53 </t>
  </si>
  <si>
    <t> R.Meyer </t>
  </si>
  <si>
    <t>BAVM 171 </t>
  </si>
  <si>
    <t>2452867.22 </t>
  </si>
  <si>
    <t> 15.08.2003 17:16 </t>
  </si>
  <si>
    <t> -1.69 </t>
  </si>
  <si>
    <t>2453243.753 </t>
  </si>
  <si>
    <t> 26.08.2004 06:04 </t>
  </si>
  <si>
    <t> -2.083 </t>
  </si>
  <si>
    <t>BAVM 174 </t>
  </si>
  <si>
    <t>2453248.003 </t>
  </si>
  <si>
    <t> 30.08.2004 12:04 </t>
  </si>
  <si>
    <t> -2.216 </t>
  </si>
  <si>
    <t>II</t>
  </si>
  <si>
    <t>V0455 Cyg / GSC 3156-0007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</si>
</sst>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V0455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AE-47EC-AADC-2BC235674B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-1.2272500000035507</c:v>
                </c:pt>
                <c:pt idx="1">
                  <c:v>-1.8932000000022526</c:v>
                </c:pt>
                <c:pt idx="2">
                  <c:v>-1.7089300000006915</c:v>
                </c:pt>
                <c:pt idx="3">
                  <c:v>-0.56358000000545871</c:v>
                </c:pt>
                <c:pt idx="4">
                  <c:v>-0.4686199999996461</c:v>
                </c:pt>
                <c:pt idx="5">
                  <c:v>0.59639999999853899</c:v>
                </c:pt>
                <c:pt idx="6">
                  <c:v>0.85447999999450985</c:v>
                </c:pt>
                <c:pt idx="7">
                  <c:v>1.0887499999953434</c:v>
                </c:pt>
                <c:pt idx="8">
                  <c:v>0.80155999999988126</c:v>
                </c:pt>
                <c:pt idx="9">
                  <c:v>1.0658299999995506</c:v>
                </c:pt>
                <c:pt idx="10">
                  <c:v>0.97290999999677297</c:v>
                </c:pt>
                <c:pt idx="11">
                  <c:v>1.3114500000010594</c:v>
                </c:pt>
                <c:pt idx="12">
                  <c:v>-0.35945000000356231</c:v>
                </c:pt>
                <c:pt idx="13">
                  <c:v>-2.0981000000028871</c:v>
                </c:pt>
                <c:pt idx="14">
                  <c:v>0.20043999999325024</c:v>
                </c:pt>
                <c:pt idx="16">
                  <c:v>-2.0015700000003562</c:v>
                </c:pt>
                <c:pt idx="17">
                  <c:v>0.20270000000164146</c:v>
                </c:pt>
                <c:pt idx="18">
                  <c:v>9.360999999626074E-2</c:v>
                </c:pt>
                <c:pt idx="19">
                  <c:v>-1.9309999996039551E-2</c:v>
                </c:pt>
                <c:pt idx="20">
                  <c:v>0.36922999999660533</c:v>
                </c:pt>
                <c:pt idx="21">
                  <c:v>-1.9936350000061793</c:v>
                </c:pt>
                <c:pt idx="22">
                  <c:v>-2.086555000001681</c:v>
                </c:pt>
                <c:pt idx="23">
                  <c:v>0.18460999999660999</c:v>
                </c:pt>
                <c:pt idx="24">
                  <c:v>-0.11258000000816537</c:v>
                </c:pt>
                <c:pt idx="25">
                  <c:v>-1.5268100000030245</c:v>
                </c:pt>
                <c:pt idx="26">
                  <c:v>-1.6896750000014435</c:v>
                </c:pt>
                <c:pt idx="27">
                  <c:v>-2.0830650000061723</c:v>
                </c:pt>
                <c:pt idx="28">
                  <c:v>2.1669349999938277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AE-47EC-AADC-2BC235674B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AE-47EC-AADC-2BC235674B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AE-47EC-AADC-2BC235674B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AE-47EC-AADC-2BC235674B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AE-47EC-AADC-2BC235674B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AE-47EC-AADC-2BC235674B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-1175</c:v>
                </c:pt>
                <c:pt idx="1">
                  <c:v>-1160</c:v>
                </c:pt>
                <c:pt idx="2">
                  <c:v>-1159</c:v>
                </c:pt>
                <c:pt idx="3">
                  <c:v>-954</c:v>
                </c:pt>
                <c:pt idx="4">
                  <c:v>-906</c:v>
                </c:pt>
                <c:pt idx="5">
                  <c:v>-680</c:v>
                </c:pt>
                <c:pt idx="6">
                  <c:v>-376</c:v>
                </c:pt>
                <c:pt idx="7">
                  <c:v>-375</c:v>
                </c:pt>
                <c:pt idx="8">
                  <c:v>-372</c:v>
                </c:pt>
                <c:pt idx="9">
                  <c:v>-371</c:v>
                </c:pt>
                <c:pt idx="10">
                  <c:v>-367</c:v>
                </c:pt>
                <c:pt idx="11">
                  <c:v>-365</c:v>
                </c:pt>
                <c:pt idx="12">
                  <c:v>-35</c:v>
                </c:pt>
                <c:pt idx="13">
                  <c:v>-30</c:v>
                </c:pt>
                <c:pt idx="14">
                  <c:v>-28</c:v>
                </c:pt>
                <c:pt idx="15">
                  <c:v>0</c:v>
                </c:pt>
                <c:pt idx="16">
                  <c:v>9</c:v>
                </c:pt>
                <c:pt idx="17">
                  <c:v>10</c:v>
                </c:pt>
                <c:pt idx="18">
                  <c:v>43</c:v>
                </c:pt>
                <c:pt idx="19">
                  <c:v>47</c:v>
                </c:pt>
                <c:pt idx="20">
                  <c:v>49</c:v>
                </c:pt>
                <c:pt idx="21">
                  <c:v>49.5</c:v>
                </c:pt>
                <c:pt idx="22">
                  <c:v>53.5</c:v>
                </c:pt>
                <c:pt idx="23">
                  <c:v>343</c:v>
                </c:pt>
                <c:pt idx="24">
                  <c:v>346</c:v>
                </c:pt>
                <c:pt idx="25">
                  <c:v>1797</c:v>
                </c:pt>
                <c:pt idx="26">
                  <c:v>1797.5</c:v>
                </c:pt>
                <c:pt idx="27">
                  <c:v>1840.5</c:v>
                </c:pt>
                <c:pt idx="28">
                  <c:v>1840.5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-0.23611593574644879</c:v>
                </c:pt>
                <c:pt idx="1">
                  <c:v>-0.23747512104585095</c:v>
                </c:pt>
                <c:pt idx="2">
                  <c:v>-0.23756573339914439</c:v>
                </c:pt>
                <c:pt idx="3">
                  <c:v>-0.2561412658243068</c:v>
                </c:pt>
                <c:pt idx="4">
                  <c:v>-0.26049065878239358</c:v>
                </c:pt>
                <c:pt idx="5">
                  <c:v>-0.28096905062671895</c:v>
                </c:pt>
                <c:pt idx="6">
                  <c:v>-0.30851520602793536</c:v>
                </c:pt>
                <c:pt idx="7">
                  <c:v>-0.3086058183812288</c:v>
                </c:pt>
                <c:pt idx="8">
                  <c:v>-0.30887765544110923</c:v>
                </c:pt>
                <c:pt idx="9">
                  <c:v>-0.30896826779440273</c:v>
                </c:pt>
                <c:pt idx="10">
                  <c:v>-0.3093307172075766</c:v>
                </c:pt>
                <c:pt idx="11">
                  <c:v>-0.30951194191416354</c:v>
                </c:pt>
                <c:pt idx="12">
                  <c:v>-0.33941401850101033</c:v>
                </c:pt>
                <c:pt idx="13">
                  <c:v>-0.33986708026747769</c:v>
                </c:pt>
                <c:pt idx="14">
                  <c:v>-0.34004830497406463</c:v>
                </c:pt>
                <c:pt idx="15">
                  <c:v>-0.34258545086628195</c:v>
                </c:pt>
                <c:pt idx="16">
                  <c:v>-0.34340096204592324</c:v>
                </c:pt>
                <c:pt idx="17">
                  <c:v>-0.34349157439921668</c:v>
                </c:pt>
                <c:pt idx="18">
                  <c:v>-0.34648178205790137</c:v>
                </c:pt>
                <c:pt idx="19">
                  <c:v>-0.34684423147107529</c:v>
                </c:pt>
                <c:pt idx="20">
                  <c:v>-0.34702545617766223</c:v>
                </c:pt>
                <c:pt idx="21">
                  <c:v>-0.34707076235430895</c:v>
                </c:pt>
                <c:pt idx="22">
                  <c:v>-0.34743321176748287</c:v>
                </c:pt>
                <c:pt idx="23">
                  <c:v>-0.37366548804594391</c:v>
                </c:pt>
                <c:pt idx="24">
                  <c:v>-0.37393732510582434</c:v>
                </c:pt>
                <c:pt idx="25">
                  <c:v>-0.50541584973465659</c:v>
                </c:pt>
                <c:pt idx="26">
                  <c:v>-0.50546115591130336</c:v>
                </c:pt>
                <c:pt idx="27">
                  <c:v>-0.50935748710292272</c:v>
                </c:pt>
                <c:pt idx="28">
                  <c:v>-0.50935748710292272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AE-47EC-AADC-2BC23567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440392"/>
        <c:axId val="1"/>
      </c:scatterChart>
      <c:valAx>
        <c:axId val="88244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440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23EF161-0D6D-9C7B-A120-FEF801C30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4" TargetMode="External"/><Relationship Id="rId2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bav-astro.de/sfs/BAVM_link.php?BAVMnr=171" TargetMode="External"/><Relationship Id="rId4" Type="http://schemas.openxmlformats.org/officeDocument/2006/relationships/hyperlink" Target="http://www.bav-astro.de/sfs/BAVM_link.php?BAVMnr=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153</v>
      </c>
    </row>
    <row r="2" spans="1:6" x14ac:dyDescent="0.2">
      <c r="A2" t="s">
        <v>24</v>
      </c>
      <c r="B2" s="30" t="s">
        <v>40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37112.51</v>
      </c>
      <c r="D4" s="9">
        <v>8.7657299999999996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37112.51</v>
      </c>
    </row>
    <row r="8" spans="1:6" x14ac:dyDescent="0.2">
      <c r="A8" t="s">
        <v>3</v>
      </c>
      <c r="C8">
        <f>+D4</f>
        <v>8.7657299999999996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-0.34258545086628195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-9.061235329347502E-5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53240.94388781907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8.765639387646706</v>
      </c>
      <c r="E16" s="16" t="s">
        <v>31</v>
      </c>
      <c r="F16" s="17">
        <f ca="1">NOW()+15018.5+$C$5/24</f>
        <v>60340.682251851853</v>
      </c>
    </row>
    <row r="17" spans="1:17" ht="13.5" thickBot="1" x14ac:dyDescent="0.25">
      <c r="A17" s="16" t="s">
        <v>28</v>
      </c>
      <c r="B17" s="12"/>
      <c r="C17" s="12">
        <f>COUNT(C21:C2191)</f>
        <v>29</v>
      </c>
      <c r="E17" s="16" t="s">
        <v>35</v>
      </c>
      <c r="F17" s="17">
        <f ca="1">ROUND(2*(F16-$C$7)/$C$8,0)/2+F15</f>
        <v>2651</v>
      </c>
    </row>
    <row r="18" spans="1:17" ht="14.25" thickTop="1" thickBot="1" x14ac:dyDescent="0.25">
      <c r="A18" s="18" t="s">
        <v>5</v>
      </c>
      <c r="B18" s="12"/>
      <c r="C18" s="21">
        <f ca="1">+C15</f>
        <v>53240.94388781907</v>
      </c>
      <c r="D18" s="22">
        <f ca="1">+C16</f>
        <v>8.765639387646706</v>
      </c>
      <c r="E18" s="16" t="s">
        <v>36</v>
      </c>
      <c r="F18" s="25">
        <f ca="1">ROUND(2*(F16-$C$15)/$C$16,0)/2+F15</f>
        <v>811</v>
      </c>
    </row>
    <row r="19" spans="1:17" ht="13.5" thickTop="1" x14ac:dyDescent="0.2">
      <c r="E19" s="16" t="s">
        <v>32</v>
      </c>
      <c r="F19" s="20">
        <f ca="1">+$C$15+$C$16*F18-15018.5-$C$5/24</f>
        <v>45331.773264533884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39</v>
      </c>
      <c r="J20" s="7" t="s">
        <v>45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44" t="s">
        <v>56</v>
      </c>
      <c r="B21" s="46" t="s">
        <v>38</v>
      </c>
      <c r="C21" s="45">
        <v>26811.55</v>
      </c>
      <c r="D21" s="45" t="s">
        <v>39</v>
      </c>
      <c r="E21">
        <f t="shared" ref="E21:E49" si="0">+(C21-C$7)/C$8</f>
        <v>-1175.1400054530545</v>
      </c>
      <c r="F21">
        <f t="shared" ref="F21:F49" si="1">ROUND(2*E21,0)/2</f>
        <v>-1175</v>
      </c>
      <c r="G21">
        <f t="shared" ref="G21:G49" si="2">+C21-(C$7+F21*C$8)</f>
        <v>-1.2272500000035507</v>
      </c>
      <c r="I21">
        <f t="shared" ref="I21:I35" si="3">+G21</f>
        <v>-1.2272500000035507</v>
      </c>
      <c r="O21">
        <f t="shared" ref="O21:O49" ca="1" si="4">+C$11+C$12*$F21</f>
        <v>-0.23611593574644879</v>
      </c>
      <c r="Q21" s="2">
        <f t="shared" ref="Q21:Q49" si="5">+C21-15018.5</f>
        <v>11793.05</v>
      </c>
    </row>
    <row r="22" spans="1:17" x14ac:dyDescent="0.2">
      <c r="A22" s="44" t="s">
        <v>56</v>
      </c>
      <c r="B22" s="46" t="s">
        <v>38</v>
      </c>
      <c r="C22" s="45">
        <v>26942.37</v>
      </c>
      <c r="D22" s="45" t="s">
        <v>39</v>
      </c>
      <c r="E22">
        <f t="shared" si="0"/>
        <v>-1160.2159774485415</v>
      </c>
      <c r="F22">
        <f t="shared" si="1"/>
        <v>-1160</v>
      </c>
      <c r="G22">
        <f t="shared" si="2"/>
        <v>-1.8932000000022526</v>
      </c>
      <c r="I22">
        <f t="shared" si="3"/>
        <v>-1.8932000000022526</v>
      </c>
      <c r="O22">
        <f t="shared" ca="1" si="4"/>
        <v>-0.23747512104585095</v>
      </c>
      <c r="Q22" s="2">
        <f t="shared" si="5"/>
        <v>11923.869999999999</v>
      </c>
    </row>
    <row r="23" spans="1:17" x14ac:dyDescent="0.2">
      <c r="A23" s="44" t="s">
        <v>56</v>
      </c>
      <c r="B23" s="46" t="s">
        <v>38</v>
      </c>
      <c r="C23" s="45">
        <v>26951.32</v>
      </c>
      <c r="D23" s="45" t="s">
        <v>39</v>
      </c>
      <c r="E23">
        <f t="shared" si="0"/>
        <v>-1159.1949558108684</v>
      </c>
      <c r="F23">
        <f t="shared" si="1"/>
        <v>-1159</v>
      </c>
      <c r="G23">
        <f t="shared" si="2"/>
        <v>-1.7089300000006915</v>
      </c>
      <c r="I23">
        <f t="shared" si="3"/>
        <v>-1.7089300000006915</v>
      </c>
      <c r="O23">
        <f t="shared" ca="1" si="4"/>
        <v>-0.23756573339914439</v>
      </c>
      <c r="Q23" s="2">
        <f t="shared" si="5"/>
        <v>11932.82</v>
      </c>
    </row>
    <row r="24" spans="1:17" x14ac:dyDescent="0.2">
      <c r="A24" s="44" t="s">
        <v>56</v>
      </c>
      <c r="B24" s="46" t="s">
        <v>38</v>
      </c>
      <c r="C24" s="45">
        <v>28749.439999999999</v>
      </c>
      <c r="D24" s="45" t="s">
        <v>39</v>
      </c>
      <c r="E24">
        <f t="shared" si="0"/>
        <v>-954.0642935614037</v>
      </c>
      <c r="F24">
        <f t="shared" si="1"/>
        <v>-954</v>
      </c>
      <c r="G24">
        <f t="shared" si="2"/>
        <v>-0.56358000000545871</v>
      </c>
      <c r="I24">
        <f t="shared" si="3"/>
        <v>-0.56358000000545871</v>
      </c>
      <c r="O24">
        <f t="shared" ca="1" si="4"/>
        <v>-0.2561412658243068</v>
      </c>
      <c r="Q24" s="2">
        <f t="shared" si="5"/>
        <v>13730.939999999999</v>
      </c>
    </row>
    <row r="25" spans="1:17" x14ac:dyDescent="0.2">
      <c r="A25" s="44" t="s">
        <v>56</v>
      </c>
      <c r="B25" s="46" t="s">
        <v>38</v>
      </c>
      <c r="C25" s="45">
        <v>29170.29</v>
      </c>
      <c r="D25" s="45" t="s">
        <v>39</v>
      </c>
      <c r="E25">
        <f t="shared" si="0"/>
        <v>-906.05346046478746</v>
      </c>
      <c r="F25">
        <f t="shared" si="1"/>
        <v>-906</v>
      </c>
      <c r="G25">
        <f t="shared" si="2"/>
        <v>-0.4686199999996461</v>
      </c>
      <c r="I25">
        <f t="shared" si="3"/>
        <v>-0.4686199999996461</v>
      </c>
      <c r="O25">
        <f t="shared" ca="1" si="4"/>
        <v>-0.26049065878239358</v>
      </c>
      <c r="Q25" s="2">
        <f t="shared" si="5"/>
        <v>14151.79</v>
      </c>
    </row>
    <row r="26" spans="1:17" x14ac:dyDescent="0.2">
      <c r="A26" s="44" t="s">
        <v>74</v>
      </c>
      <c r="B26" s="46" t="s">
        <v>38</v>
      </c>
      <c r="C26" s="45">
        <v>31152.41</v>
      </c>
      <c r="D26" s="45" t="s">
        <v>39</v>
      </c>
      <c r="E26">
        <f t="shared" si="0"/>
        <v>-679.93196231232344</v>
      </c>
      <c r="F26">
        <f t="shared" si="1"/>
        <v>-680</v>
      </c>
      <c r="G26">
        <f t="shared" si="2"/>
        <v>0.59639999999853899</v>
      </c>
      <c r="I26">
        <f t="shared" si="3"/>
        <v>0.59639999999853899</v>
      </c>
      <c r="O26">
        <f t="shared" ca="1" si="4"/>
        <v>-0.28096905062671895</v>
      </c>
      <c r="Q26" s="2">
        <f t="shared" si="5"/>
        <v>16133.91</v>
      </c>
    </row>
    <row r="27" spans="1:17" x14ac:dyDescent="0.2">
      <c r="A27" s="44" t="s">
        <v>79</v>
      </c>
      <c r="B27" s="46" t="s">
        <v>38</v>
      </c>
      <c r="C27" s="45">
        <v>33817.449999999997</v>
      </c>
      <c r="D27" s="45" t="s">
        <v>39</v>
      </c>
      <c r="E27">
        <f t="shared" si="0"/>
        <v>-375.90252038335711</v>
      </c>
      <c r="F27">
        <f t="shared" si="1"/>
        <v>-376</v>
      </c>
      <c r="G27">
        <f t="shared" si="2"/>
        <v>0.85447999999450985</v>
      </c>
      <c r="I27">
        <f t="shared" si="3"/>
        <v>0.85447999999450985</v>
      </c>
      <c r="O27">
        <f t="shared" ca="1" si="4"/>
        <v>-0.30851520602793536</v>
      </c>
      <c r="Q27" s="2">
        <f t="shared" si="5"/>
        <v>18798.949999999997</v>
      </c>
    </row>
    <row r="28" spans="1:17" x14ac:dyDescent="0.2">
      <c r="A28" s="44" t="s">
        <v>79</v>
      </c>
      <c r="B28" s="46" t="s">
        <v>38</v>
      </c>
      <c r="C28" s="45">
        <v>33826.449999999997</v>
      </c>
      <c r="D28" s="45" t="s">
        <v>39</v>
      </c>
      <c r="E28">
        <f t="shared" si="0"/>
        <v>-374.87579471418866</v>
      </c>
      <c r="F28">
        <f t="shared" si="1"/>
        <v>-375</v>
      </c>
      <c r="G28">
        <f t="shared" si="2"/>
        <v>1.0887499999953434</v>
      </c>
      <c r="I28">
        <f t="shared" si="3"/>
        <v>1.0887499999953434</v>
      </c>
      <c r="O28">
        <f t="shared" ca="1" si="4"/>
        <v>-0.3086058183812288</v>
      </c>
      <c r="Q28" s="2">
        <f t="shared" si="5"/>
        <v>18807.949999999997</v>
      </c>
    </row>
    <row r="29" spans="1:17" x14ac:dyDescent="0.2">
      <c r="A29" s="44" t="s">
        <v>79</v>
      </c>
      <c r="B29" s="46" t="s">
        <v>38</v>
      </c>
      <c r="C29" s="45">
        <v>33852.46</v>
      </c>
      <c r="D29" s="45" t="s">
        <v>39</v>
      </c>
      <c r="E29">
        <f t="shared" si="0"/>
        <v>-371.9085575302916</v>
      </c>
      <c r="F29">
        <f t="shared" si="1"/>
        <v>-372</v>
      </c>
      <c r="G29">
        <f t="shared" si="2"/>
        <v>0.80155999999988126</v>
      </c>
      <c r="I29">
        <f t="shared" si="3"/>
        <v>0.80155999999988126</v>
      </c>
      <c r="O29">
        <f t="shared" ca="1" si="4"/>
        <v>-0.30887765544110923</v>
      </c>
      <c r="Q29" s="2">
        <f t="shared" si="5"/>
        <v>18833.96</v>
      </c>
    </row>
    <row r="30" spans="1:17" x14ac:dyDescent="0.2">
      <c r="A30" s="44" t="s">
        <v>79</v>
      </c>
      <c r="B30" s="46" t="s">
        <v>38</v>
      </c>
      <c r="C30" s="45">
        <v>33861.49</v>
      </c>
      <c r="D30" s="45" t="s">
        <v>39</v>
      </c>
      <c r="E30">
        <f t="shared" si="0"/>
        <v>-370.87840944222609</v>
      </c>
      <c r="F30">
        <f t="shared" si="1"/>
        <v>-371</v>
      </c>
      <c r="G30">
        <f t="shared" si="2"/>
        <v>1.0658299999995506</v>
      </c>
      <c r="I30">
        <f t="shared" si="3"/>
        <v>1.0658299999995506</v>
      </c>
      <c r="O30">
        <f t="shared" ca="1" si="4"/>
        <v>-0.30896826779440273</v>
      </c>
      <c r="Q30" s="2">
        <f t="shared" si="5"/>
        <v>18842.989999999998</v>
      </c>
    </row>
    <row r="31" spans="1:17" x14ac:dyDescent="0.2">
      <c r="A31" s="44" t="s">
        <v>79</v>
      </c>
      <c r="B31" s="46" t="s">
        <v>38</v>
      </c>
      <c r="C31" s="45">
        <v>33896.46</v>
      </c>
      <c r="D31" s="45" t="s">
        <v>39</v>
      </c>
      <c r="E31">
        <f t="shared" si="0"/>
        <v>-366.88900981435694</v>
      </c>
      <c r="F31">
        <f t="shared" si="1"/>
        <v>-367</v>
      </c>
      <c r="G31">
        <f t="shared" si="2"/>
        <v>0.97290999999677297</v>
      </c>
      <c r="I31">
        <f t="shared" si="3"/>
        <v>0.97290999999677297</v>
      </c>
      <c r="O31">
        <f t="shared" ca="1" si="4"/>
        <v>-0.3093307172075766</v>
      </c>
      <c r="Q31" s="2">
        <f t="shared" si="5"/>
        <v>18877.96</v>
      </c>
    </row>
    <row r="32" spans="1:17" x14ac:dyDescent="0.2">
      <c r="A32" s="44" t="s">
        <v>79</v>
      </c>
      <c r="B32" s="46" t="s">
        <v>38</v>
      </c>
      <c r="C32" s="45">
        <v>33914.33</v>
      </c>
      <c r="D32" s="45" t="s">
        <v>39</v>
      </c>
      <c r="E32">
        <f t="shared" si="0"/>
        <v>-364.85038895790774</v>
      </c>
      <c r="F32">
        <f t="shared" si="1"/>
        <v>-365</v>
      </c>
      <c r="G32">
        <f t="shared" si="2"/>
        <v>1.3114500000010594</v>
      </c>
      <c r="I32">
        <f t="shared" si="3"/>
        <v>1.3114500000010594</v>
      </c>
      <c r="O32">
        <f t="shared" ca="1" si="4"/>
        <v>-0.30951194191416354</v>
      </c>
      <c r="Q32" s="2">
        <f t="shared" si="5"/>
        <v>18895.830000000002</v>
      </c>
    </row>
    <row r="33" spans="1:17" x14ac:dyDescent="0.2">
      <c r="A33" s="44" t="s">
        <v>99</v>
      </c>
      <c r="B33" s="46" t="s">
        <v>38</v>
      </c>
      <c r="C33" s="45">
        <v>36805.35</v>
      </c>
      <c r="D33" s="45" t="s">
        <v>39</v>
      </c>
      <c r="E33">
        <f t="shared" si="0"/>
        <v>-35.041006282420689</v>
      </c>
      <c r="F33">
        <f t="shared" si="1"/>
        <v>-35</v>
      </c>
      <c r="G33">
        <f t="shared" si="2"/>
        <v>-0.35945000000356231</v>
      </c>
      <c r="I33">
        <f t="shared" si="3"/>
        <v>-0.35945000000356231</v>
      </c>
      <c r="O33">
        <f t="shared" ca="1" si="4"/>
        <v>-0.33941401850101033</v>
      </c>
      <c r="Q33" s="2">
        <f t="shared" si="5"/>
        <v>21786.85</v>
      </c>
    </row>
    <row r="34" spans="1:17" x14ac:dyDescent="0.2">
      <c r="A34" s="44" t="s">
        <v>104</v>
      </c>
      <c r="B34" s="46" t="s">
        <v>38</v>
      </c>
      <c r="C34" s="45">
        <v>36847.440000000002</v>
      </c>
      <c r="D34" s="45" t="s">
        <v>39</v>
      </c>
      <c r="E34">
        <f t="shared" si="0"/>
        <v>-30.239352569609117</v>
      </c>
      <c r="F34">
        <f t="shared" si="1"/>
        <v>-30</v>
      </c>
      <c r="G34">
        <f t="shared" si="2"/>
        <v>-2.0981000000028871</v>
      </c>
      <c r="I34">
        <f t="shared" si="3"/>
        <v>-2.0981000000028871</v>
      </c>
      <c r="O34">
        <f t="shared" ca="1" si="4"/>
        <v>-0.33986708026747769</v>
      </c>
      <c r="Q34" s="2">
        <f t="shared" si="5"/>
        <v>21828.940000000002</v>
      </c>
    </row>
    <row r="35" spans="1:17" x14ac:dyDescent="0.2">
      <c r="A35" s="44" t="s">
        <v>99</v>
      </c>
      <c r="B35" s="46" t="s">
        <v>38</v>
      </c>
      <c r="C35" s="45">
        <v>36867.269999999997</v>
      </c>
      <c r="D35" s="45" t="s">
        <v>39</v>
      </c>
      <c r="E35">
        <f t="shared" si="0"/>
        <v>-27.977133678541918</v>
      </c>
      <c r="F35">
        <f t="shared" si="1"/>
        <v>-28</v>
      </c>
      <c r="G35">
        <f t="shared" si="2"/>
        <v>0.20043999999325024</v>
      </c>
      <c r="I35">
        <f t="shared" si="3"/>
        <v>0.20043999999325024</v>
      </c>
      <c r="O35">
        <f t="shared" ca="1" si="4"/>
        <v>-0.34004830497406463</v>
      </c>
      <c r="Q35" s="2">
        <f t="shared" si="5"/>
        <v>21848.769999999997</v>
      </c>
    </row>
    <row r="36" spans="1:17" x14ac:dyDescent="0.2">
      <c r="A36" t="s">
        <v>12</v>
      </c>
      <c r="C36" s="10">
        <v>37112.51</v>
      </c>
      <c r="D36" s="10" t="s">
        <v>14</v>
      </c>
      <c r="E36">
        <f t="shared" si="0"/>
        <v>0</v>
      </c>
      <c r="F36">
        <f t="shared" si="1"/>
        <v>0</v>
      </c>
      <c r="G36">
        <f t="shared" si="2"/>
        <v>0</v>
      </c>
      <c r="H36">
        <f>+G36</f>
        <v>0</v>
      </c>
      <c r="O36">
        <f t="shared" ca="1" si="4"/>
        <v>-0.34258545086628195</v>
      </c>
      <c r="Q36" s="2">
        <f t="shared" si="5"/>
        <v>22094.010000000002</v>
      </c>
    </row>
    <row r="37" spans="1:17" x14ac:dyDescent="0.2">
      <c r="A37" s="44" t="s">
        <v>104</v>
      </c>
      <c r="B37" s="46" t="s">
        <v>38</v>
      </c>
      <c r="C37" s="45">
        <v>37189.4</v>
      </c>
      <c r="D37" s="45" t="s">
        <v>39</v>
      </c>
      <c r="E37">
        <f t="shared" si="0"/>
        <v>8.7716596335957675</v>
      </c>
      <c r="F37">
        <f t="shared" si="1"/>
        <v>9</v>
      </c>
      <c r="G37">
        <f t="shared" si="2"/>
        <v>-2.0015700000003562</v>
      </c>
      <c r="I37">
        <f t="shared" ref="I37:I49" si="6">+G37</f>
        <v>-2.0015700000003562</v>
      </c>
      <c r="O37">
        <f t="shared" ca="1" si="4"/>
        <v>-0.34340096204592324</v>
      </c>
      <c r="Q37" s="2">
        <f t="shared" si="5"/>
        <v>22170.9</v>
      </c>
    </row>
    <row r="38" spans="1:17" x14ac:dyDescent="0.2">
      <c r="A38" s="44" t="s">
        <v>99</v>
      </c>
      <c r="B38" s="46" t="s">
        <v>38</v>
      </c>
      <c r="C38" s="45">
        <v>37200.370000000003</v>
      </c>
      <c r="D38" s="45" t="s">
        <v>39</v>
      </c>
      <c r="E38">
        <f t="shared" si="0"/>
        <v>10.023124143682338</v>
      </c>
      <c r="F38">
        <f t="shared" si="1"/>
        <v>10</v>
      </c>
      <c r="G38">
        <f t="shared" si="2"/>
        <v>0.20270000000164146</v>
      </c>
      <c r="I38">
        <f t="shared" si="6"/>
        <v>0.20270000000164146</v>
      </c>
      <c r="O38">
        <f t="shared" ca="1" si="4"/>
        <v>-0.34349157439921668</v>
      </c>
      <c r="Q38" s="2">
        <f t="shared" si="5"/>
        <v>22181.870000000003</v>
      </c>
    </row>
    <row r="39" spans="1:17" x14ac:dyDescent="0.2">
      <c r="A39" s="44" t="s">
        <v>99</v>
      </c>
      <c r="B39" s="46" t="s">
        <v>38</v>
      </c>
      <c r="C39" s="45">
        <v>37489.53</v>
      </c>
      <c r="D39" s="45" t="s">
        <v>39</v>
      </c>
      <c r="E39">
        <f t="shared" si="0"/>
        <v>43.01067908776529</v>
      </c>
      <c r="F39">
        <f t="shared" si="1"/>
        <v>43</v>
      </c>
      <c r="G39">
        <f t="shared" si="2"/>
        <v>9.360999999626074E-2</v>
      </c>
      <c r="I39">
        <f t="shared" si="6"/>
        <v>9.360999999626074E-2</v>
      </c>
      <c r="O39">
        <f t="shared" ca="1" si="4"/>
        <v>-0.34648178205790137</v>
      </c>
      <c r="Q39" s="2">
        <f t="shared" si="5"/>
        <v>22471.03</v>
      </c>
    </row>
    <row r="40" spans="1:17" x14ac:dyDescent="0.2">
      <c r="A40" s="44" t="s">
        <v>99</v>
      </c>
      <c r="B40" s="46" t="s">
        <v>38</v>
      </c>
      <c r="C40" s="45">
        <v>37524.480000000003</v>
      </c>
      <c r="D40" s="45" t="s">
        <v>39</v>
      </c>
      <c r="E40">
        <f t="shared" si="0"/>
        <v>46.997797103036618</v>
      </c>
      <c r="F40">
        <f t="shared" si="1"/>
        <v>47</v>
      </c>
      <c r="G40">
        <f t="shared" si="2"/>
        <v>-1.9309999996039551E-2</v>
      </c>
      <c r="I40">
        <f t="shared" si="6"/>
        <v>-1.9309999996039551E-2</v>
      </c>
      <c r="O40">
        <f t="shared" ca="1" si="4"/>
        <v>-0.34684423147107529</v>
      </c>
      <c r="Q40" s="2">
        <f t="shared" si="5"/>
        <v>22505.980000000003</v>
      </c>
    </row>
    <row r="41" spans="1:17" x14ac:dyDescent="0.2">
      <c r="A41" s="44" t="s">
        <v>99</v>
      </c>
      <c r="B41" s="46" t="s">
        <v>38</v>
      </c>
      <c r="C41" s="45">
        <v>37542.400000000001</v>
      </c>
      <c r="D41" s="45" t="s">
        <v>39</v>
      </c>
      <c r="E41">
        <f t="shared" si="0"/>
        <v>49.042121990980725</v>
      </c>
      <c r="F41">
        <f t="shared" si="1"/>
        <v>49</v>
      </c>
      <c r="G41">
        <f t="shared" si="2"/>
        <v>0.36922999999660533</v>
      </c>
      <c r="I41">
        <f t="shared" si="6"/>
        <v>0.36922999999660533</v>
      </c>
      <c r="O41">
        <f t="shared" ca="1" si="4"/>
        <v>-0.34702545617766223</v>
      </c>
      <c r="Q41" s="2">
        <f t="shared" si="5"/>
        <v>22523.9</v>
      </c>
    </row>
    <row r="42" spans="1:17" x14ac:dyDescent="0.2">
      <c r="A42" s="44" t="s">
        <v>104</v>
      </c>
      <c r="B42" s="46" t="s">
        <v>38</v>
      </c>
      <c r="C42" s="45">
        <v>37544.42</v>
      </c>
      <c r="D42" s="45" t="s">
        <v>39</v>
      </c>
      <c r="E42">
        <f t="shared" si="0"/>
        <v>49.272564863393718</v>
      </c>
      <c r="F42">
        <f t="shared" si="1"/>
        <v>49.5</v>
      </c>
      <c r="G42">
        <f t="shared" si="2"/>
        <v>-1.9936350000061793</v>
      </c>
      <c r="I42">
        <f t="shared" si="6"/>
        <v>-1.9936350000061793</v>
      </c>
      <c r="O42">
        <f t="shared" ca="1" si="4"/>
        <v>-0.34707076235430895</v>
      </c>
      <c r="Q42" s="2">
        <f t="shared" si="5"/>
        <v>22525.919999999998</v>
      </c>
    </row>
    <row r="43" spans="1:17" x14ac:dyDescent="0.2">
      <c r="A43" s="44" t="s">
        <v>104</v>
      </c>
      <c r="B43" s="46" t="s">
        <v>38</v>
      </c>
      <c r="C43" s="45">
        <v>37579.39</v>
      </c>
      <c r="D43" s="45" t="s">
        <v>39</v>
      </c>
      <c r="E43">
        <f t="shared" si="0"/>
        <v>53.261964491262837</v>
      </c>
      <c r="F43">
        <f t="shared" si="1"/>
        <v>53.5</v>
      </c>
      <c r="G43">
        <f t="shared" si="2"/>
        <v>-2.086555000001681</v>
      </c>
      <c r="I43">
        <f t="shared" si="6"/>
        <v>-2.086555000001681</v>
      </c>
      <c r="O43">
        <f t="shared" ca="1" si="4"/>
        <v>-0.34743321176748287</v>
      </c>
      <c r="Q43" s="2">
        <f t="shared" si="5"/>
        <v>22560.89</v>
      </c>
    </row>
    <row r="44" spans="1:17" x14ac:dyDescent="0.2">
      <c r="A44" s="44" t="s">
        <v>99</v>
      </c>
      <c r="B44" s="46" t="s">
        <v>38</v>
      </c>
      <c r="C44" s="45">
        <v>40119.339999999997</v>
      </c>
      <c r="D44" s="45" t="s">
        <v>39</v>
      </c>
      <c r="E44">
        <f t="shared" si="0"/>
        <v>343.0210604250866</v>
      </c>
      <c r="F44">
        <f t="shared" si="1"/>
        <v>343</v>
      </c>
      <c r="G44">
        <f t="shared" si="2"/>
        <v>0.18460999999660999</v>
      </c>
      <c r="I44">
        <f t="shared" si="6"/>
        <v>0.18460999999660999</v>
      </c>
      <c r="O44">
        <f t="shared" ca="1" si="4"/>
        <v>-0.37366548804594391</v>
      </c>
      <c r="Q44" s="2">
        <f t="shared" si="5"/>
        <v>25100.839999999997</v>
      </c>
    </row>
    <row r="45" spans="1:17" x14ac:dyDescent="0.2">
      <c r="A45" s="44" t="s">
        <v>99</v>
      </c>
      <c r="B45" s="46" t="s">
        <v>38</v>
      </c>
      <c r="C45" s="45">
        <v>40145.339999999997</v>
      </c>
      <c r="D45" s="45" t="s">
        <v>39</v>
      </c>
      <c r="E45">
        <f t="shared" si="0"/>
        <v>345.98715680268441</v>
      </c>
      <c r="F45">
        <f t="shared" si="1"/>
        <v>346</v>
      </c>
      <c r="G45">
        <f t="shared" si="2"/>
        <v>-0.11258000000816537</v>
      </c>
      <c r="I45">
        <f t="shared" si="6"/>
        <v>-0.11258000000816537</v>
      </c>
      <c r="O45">
        <f t="shared" ca="1" si="4"/>
        <v>-0.37393732510582434</v>
      </c>
      <c r="Q45" s="2">
        <f t="shared" si="5"/>
        <v>25126.839999999997</v>
      </c>
    </row>
    <row r="46" spans="1:17" x14ac:dyDescent="0.2">
      <c r="A46" s="44" t="s">
        <v>141</v>
      </c>
      <c r="B46" s="46" t="s">
        <v>38</v>
      </c>
      <c r="C46" s="45">
        <v>52863</v>
      </c>
      <c r="D46" s="45" t="s">
        <v>39</v>
      </c>
      <c r="E46">
        <f t="shared" si="0"/>
        <v>1796.8258205534505</v>
      </c>
      <c r="F46">
        <f t="shared" si="1"/>
        <v>1797</v>
      </c>
      <c r="G46">
        <f t="shared" si="2"/>
        <v>-1.5268100000030245</v>
      </c>
      <c r="I46">
        <f t="shared" si="6"/>
        <v>-1.5268100000030245</v>
      </c>
      <c r="O46">
        <f t="shared" ca="1" si="4"/>
        <v>-0.50541584973465659</v>
      </c>
      <c r="Q46" s="2">
        <f t="shared" si="5"/>
        <v>37844.5</v>
      </c>
    </row>
    <row r="47" spans="1:17" x14ac:dyDescent="0.2">
      <c r="A47" s="44" t="s">
        <v>141</v>
      </c>
      <c r="B47" s="46" t="s">
        <v>152</v>
      </c>
      <c r="C47" s="45">
        <v>52867.22</v>
      </c>
      <c r="D47" s="45" t="s">
        <v>39</v>
      </c>
      <c r="E47">
        <f t="shared" si="0"/>
        <v>1797.3072408116609</v>
      </c>
      <c r="F47">
        <f t="shared" si="1"/>
        <v>1797.5</v>
      </c>
      <c r="G47">
        <f t="shared" si="2"/>
        <v>-1.6896750000014435</v>
      </c>
      <c r="I47">
        <f t="shared" si="6"/>
        <v>-1.6896750000014435</v>
      </c>
      <c r="O47">
        <f t="shared" ca="1" si="4"/>
        <v>-0.50546115591130336</v>
      </c>
      <c r="Q47" s="2">
        <f t="shared" si="5"/>
        <v>37848.720000000001</v>
      </c>
    </row>
    <row r="48" spans="1:17" x14ac:dyDescent="0.2">
      <c r="A48" s="28" t="s">
        <v>37</v>
      </c>
      <c r="B48" s="29" t="s">
        <v>38</v>
      </c>
      <c r="C48" s="28">
        <v>53243.752999999997</v>
      </c>
      <c r="D48" s="28" t="s">
        <v>39</v>
      </c>
      <c r="E48">
        <f t="shared" si="0"/>
        <v>1840.2623626326611</v>
      </c>
      <c r="F48">
        <f t="shared" si="1"/>
        <v>1840.5</v>
      </c>
      <c r="G48">
        <f t="shared" si="2"/>
        <v>-2.0830650000061723</v>
      </c>
      <c r="I48">
        <f t="shared" si="6"/>
        <v>-2.0830650000061723</v>
      </c>
      <c r="O48">
        <f t="shared" ca="1" si="4"/>
        <v>-0.50935748710292272</v>
      </c>
      <c r="Q48" s="2">
        <f t="shared" si="5"/>
        <v>38225.252999999997</v>
      </c>
    </row>
    <row r="49" spans="1:17" x14ac:dyDescent="0.2">
      <c r="A49" s="28" t="s">
        <v>37</v>
      </c>
      <c r="B49" s="29" t="s">
        <v>38</v>
      </c>
      <c r="C49" s="28">
        <v>53248.002999999997</v>
      </c>
      <c r="D49" s="28" t="s">
        <v>39</v>
      </c>
      <c r="E49">
        <f t="shared" si="0"/>
        <v>1840.7472053097683</v>
      </c>
      <c r="F49">
        <f t="shared" si="1"/>
        <v>1840.5</v>
      </c>
      <c r="G49">
        <f t="shared" si="2"/>
        <v>2.1669349999938277</v>
      </c>
      <c r="I49">
        <f t="shared" si="6"/>
        <v>2.1669349999938277</v>
      </c>
      <c r="O49">
        <f t="shared" ca="1" si="4"/>
        <v>-0.50935748710292272</v>
      </c>
      <c r="Q49" s="2">
        <f t="shared" si="5"/>
        <v>38229.502999999997</v>
      </c>
    </row>
    <row r="50" spans="1:17" x14ac:dyDescent="0.2">
      <c r="B50" s="3"/>
      <c r="C50" s="10"/>
      <c r="D50" s="10"/>
    </row>
    <row r="51" spans="1:17" x14ac:dyDescent="0.2">
      <c r="B51" s="3"/>
      <c r="C51" s="10"/>
      <c r="D51" s="10"/>
    </row>
    <row r="52" spans="1:17" x14ac:dyDescent="0.2">
      <c r="B52" s="3"/>
      <c r="C52" s="10"/>
      <c r="D52" s="10"/>
    </row>
    <row r="53" spans="1:17" x14ac:dyDescent="0.2">
      <c r="B53" s="3"/>
      <c r="C53" s="10"/>
      <c r="D53" s="10"/>
    </row>
    <row r="54" spans="1:17" x14ac:dyDescent="0.2">
      <c r="B54" s="3"/>
      <c r="C54" s="10"/>
      <c r="D54" s="10"/>
    </row>
    <row r="55" spans="1:17" x14ac:dyDescent="0.2">
      <c r="B55" s="3"/>
      <c r="C55" s="10"/>
      <c r="D55" s="10"/>
    </row>
    <row r="56" spans="1:17" x14ac:dyDescent="0.2">
      <c r="B56" s="3"/>
      <c r="C56" s="10"/>
      <c r="D56" s="10"/>
    </row>
    <row r="57" spans="1:17" x14ac:dyDescent="0.2">
      <c r="B57" s="3"/>
      <c r="C57" s="10"/>
      <c r="D57" s="10"/>
    </row>
    <row r="58" spans="1:17" x14ac:dyDescent="0.2">
      <c r="B58" s="3"/>
      <c r="C58" s="10"/>
      <c r="D58" s="10"/>
    </row>
    <row r="59" spans="1:17" x14ac:dyDescent="0.2">
      <c r="B59" s="3"/>
      <c r="C59" s="10"/>
      <c r="D59" s="10"/>
    </row>
    <row r="60" spans="1:17" x14ac:dyDescent="0.2">
      <c r="B60" s="3"/>
      <c r="C60" s="10"/>
      <c r="D60" s="10"/>
    </row>
    <row r="61" spans="1:17" x14ac:dyDescent="0.2">
      <c r="B61" s="3"/>
      <c r="C61" s="10"/>
      <c r="D61" s="10"/>
    </row>
    <row r="62" spans="1:17" x14ac:dyDescent="0.2">
      <c r="B62" s="3"/>
      <c r="C62" s="10"/>
      <c r="D62" s="10"/>
    </row>
    <row r="63" spans="1:17" x14ac:dyDescent="0.2">
      <c r="B63" s="3"/>
      <c r="C63" s="10"/>
      <c r="D63" s="10"/>
    </row>
    <row r="64" spans="1:17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C75" s="10"/>
      <c r="D75" s="10"/>
    </row>
    <row r="76" spans="2:4" x14ac:dyDescent="0.2">
      <c r="C76" s="10"/>
      <c r="D76" s="10"/>
    </row>
    <row r="77" spans="2:4" x14ac:dyDescent="0.2">
      <c r="C77" s="10"/>
      <c r="D77" s="10"/>
    </row>
    <row r="78" spans="2:4" x14ac:dyDescent="0.2">
      <c r="C78" s="10"/>
      <c r="D78" s="10"/>
    </row>
    <row r="79" spans="2:4" x14ac:dyDescent="0.2">
      <c r="C79" s="10"/>
      <c r="D79" s="10"/>
    </row>
    <row r="80" spans="2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5"/>
  <sheetViews>
    <sheetView topLeftCell="A3" workbookViewId="0">
      <selection activeCell="A14" sqref="A14:D3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1" t="s">
        <v>41</v>
      </c>
      <c r="I1" s="32" t="s">
        <v>42</v>
      </c>
      <c r="J1" s="33" t="s">
        <v>43</v>
      </c>
    </row>
    <row r="2" spans="1:16" x14ac:dyDescent="0.2">
      <c r="I2" s="34" t="s">
        <v>44</v>
      </c>
      <c r="J2" s="35" t="s">
        <v>45</v>
      </c>
    </row>
    <row r="3" spans="1:16" x14ac:dyDescent="0.2">
      <c r="A3" s="36" t="s">
        <v>46</v>
      </c>
      <c r="I3" s="34" t="s">
        <v>47</v>
      </c>
      <c r="J3" s="35" t="s">
        <v>48</v>
      </c>
    </row>
    <row r="4" spans="1:16" x14ac:dyDescent="0.2">
      <c r="I4" s="34" t="s">
        <v>49</v>
      </c>
      <c r="J4" s="35" t="s">
        <v>48</v>
      </c>
    </row>
    <row r="5" spans="1:16" ht="13.5" thickBot="1" x14ac:dyDescent="0.25">
      <c r="I5" s="37" t="s">
        <v>50</v>
      </c>
      <c r="J5" s="38" t="s">
        <v>39</v>
      </c>
    </row>
    <row r="10" spans="1:16" ht="13.5" thickBot="1" x14ac:dyDescent="0.25"/>
    <row r="11" spans="1:16" ht="12.75" customHeight="1" thickBot="1" x14ac:dyDescent="0.25">
      <c r="A11" s="10" t="str">
        <f t="shared" ref="A11:A39" si="0">P11</f>
        <v> MSAI 40.392 </v>
      </c>
      <c r="B11" s="3" t="str">
        <f t="shared" ref="B11:B39" si="1">IF(H11=INT(H11),"I","II")</f>
        <v>I</v>
      </c>
      <c r="C11" s="10">
        <f t="shared" ref="C11:C39" si="2">1*G11</f>
        <v>37112.51</v>
      </c>
      <c r="D11" s="12" t="str">
        <f t="shared" ref="D11:D39" si="3">VLOOKUP(F11,I$1:J$5,2,FALSE)</f>
        <v>vis</v>
      </c>
      <c r="E11" s="39">
        <f>VLOOKUP(C11,Active!C$21:E$973,3,FALSE)</f>
        <v>0</v>
      </c>
      <c r="F11" s="3" t="s">
        <v>50</v>
      </c>
      <c r="G11" s="12" t="str">
        <f t="shared" ref="G11:G39" si="4">MID(I11,3,LEN(I11)-3)</f>
        <v>37112.51</v>
      </c>
      <c r="H11" s="10">
        <f t="shared" ref="H11:H39" si="5">1*K11</f>
        <v>0</v>
      </c>
      <c r="I11" s="40" t="s">
        <v>108</v>
      </c>
      <c r="J11" s="41" t="s">
        <v>109</v>
      </c>
      <c r="K11" s="40">
        <v>0</v>
      </c>
      <c r="L11" s="40" t="s">
        <v>110</v>
      </c>
      <c r="M11" s="41" t="s">
        <v>54</v>
      </c>
      <c r="N11" s="41"/>
      <c r="O11" s="42" t="s">
        <v>98</v>
      </c>
      <c r="P11" s="42" t="s">
        <v>99</v>
      </c>
    </row>
    <row r="12" spans="1:16" ht="12.75" customHeight="1" thickBot="1" x14ac:dyDescent="0.25">
      <c r="A12" s="10" t="str">
        <f t="shared" si="0"/>
        <v>BAVM 174 </v>
      </c>
      <c r="B12" s="3" t="str">
        <f t="shared" si="1"/>
        <v>II</v>
      </c>
      <c r="C12" s="10">
        <f t="shared" si="2"/>
        <v>53243.752999999997</v>
      </c>
      <c r="D12" s="12" t="str">
        <f t="shared" si="3"/>
        <v>vis</v>
      </c>
      <c r="E12" s="39">
        <f>VLOOKUP(C12,Active!C$21:E$973,3,FALSE)</f>
        <v>1840.2623626326611</v>
      </c>
      <c r="F12" s="3" t="s">
        <v>50</v>
      </c>
      <c r="G12" s="12" t="str">
        <f t="shared" si="4"/>
        <v>53243.753</v>
      </c>
      <c r="H12" s="10">
        <f t="shared" si="5"/>
        <v>1840.5</v>
      </c>
      <c r="I12" s="40" t="s">
        <v>145</v>
      </c>
      <c r="J12" s="41" t="s">
        <v>146</v>
      </c>
      <c r="K12" s="40">
        <v>1840.5</v>
      </c>
      <c r="L12" s="40" t="s">
        <v>147</v>
      </c>
      <c r="M12" s="41" t="s">
        <v>72</v>
      </c>
      <c r="N12" s="41"/>
      <c r="O12" s="42" t="s">
        <v>140</v>
      </c>
      <c r="P12" s="43" t="s">
        <v>148</v>
      </c>
    </row>
    <row r="13" spans="1:16" ht="12.75" customHeight="1" thickBot="1" x14ac:dyDescent="0.25">
      <c r="A13" s="10" t="str">
        <f t="shared" si="0"/>
        <v>BAVM 174 </v>
      </c>
      <c r="B13" s="3" t="str">
        <f t="shared" si="1"/>
        <v>I</v>
      </c>
      <c r="C13" s="10">
        <f t="shared" si="2"/>
        <v>53248.002999999997</v>
      </c>
      <c r="D13" s="12" t="str">
        <f t="shared" si="3"/>
        <v>vis</v>
      </c>
      <c r="E13" s="39">
        <f>VLOOKUP(C13,Active!C$21:E$973,3,FALSE)</f>
        <v>1840.7472053097683</v>
      </c>
      <c r="F13" s="3" t="s">
        <v>50</v>
      </c>
      <c r="G13" s="12" t="str">
        <f t="shared" si="4"/>
        <v>53248.003</v>
      </c>
      <c r="H13" s="10">
        <f t="shared" si="5"/>
        <v>1841</v>
      </c>
      <c r="I13" s="40" t="s">
        <v>149</v>
      </c>
      <c r="J13" s="41" t="s">
        <v>150</v>
      </c>
      <c r="K13" s="40">
        <v>1841</v>
      </c>
      <c r="L13" s="40" t="s">
        <v>151</v>
      </c>
      <c r="M13" s="41" t="s">
        <v>72</v>
      </c>
      <c r="N13" s="41"/>
      <c r="O13" s="42" t="s">
        <v>140</v>
      </c>
      <c r="P13" s="43" t="s">
        <v>148</v>
      </c>
    </row>
    <row r="14" spans="1:16" ht="12.75" customHeight="1" thickBot="1" x14ac:dyDescent="0.25">
      <c r="A14" s="10" t="str">
        <f t="shared" si="0"/>
        <v> AN 276.177 </v>
      </c>
      <c r="B14" s="3" t="str">
        <f t="shared" si="1"/>
        <v>I</v>
      </c>
      <c r="C14" s="10">
        <f t="shared" si="2"/>
        <v>26811.55</v>
      </c>
      <c r="D14" s="12" t="str">
        <f t="shared" si="3"/>
        <v>vis</v>
      </c>
      <c r="E14" s="39">
        <f>VLOOKUP(C14,Active!C$21:E$973,3,FALSE)</f>
        <v>-1175.1400054530545</v>
      </c>
      <c r="F14" s="3" t="s">
        <v>50</v>
      </c>
      <c r="G14" s="12" t="str">
        <f t="shared" si="4"/>
        <v>26811.55</v>
      </c>
      <c r="H14" s="10">
        <f t="shared" si="5"/>
        <v>-1175</v>
      </c>
      <c r="I14" s="40" t="s">
        <v>51</v>
      </c>
      <c r="J14" s="41" t="s">
        <v>52</v>
      </c>
      <c r="K14" s="40">
        <v>-1175</v>
      </c>
      <c r="L14" s="40" t="s">
        <v>53</v>
      </c>
      <c r="M14" s="41" t="s">
        <v>54</v>
      </c>
      <c r="N14" s="41"/>
      <c r="O14" s="42" t="s">
        <v>55</v>
      </c>
      <c r="P14" s="42" t="s">
        <v>56</v>
      </c>
    </row>
    <row r="15" spans="1:16" ht="12.75" customHeight="1" thickBot="1" x14ac:dyDescent="0.25">
      <c r="A15" s="10" t="str">
        <f t="shared" si="0"/>
        <v> AN 276.177 </v>
      </c>
      <c r="B15" s="3" t="str">
        <f t="shared" si="1"/>
        <v>I</v>
      </c>
      <c r="C15" s="10">
        <f t="shared" si="2"/>
        <v>26942.37</v>
      </c>
      <c r="D15" s="12" t="str">
        <f t="shared" si="3"/>
        <v>vis</v>
      </c>
      <c r="E15" s="39">
        <f>VLOOKUP(C15,Active!C$21:E$973,3,FALSE)</f>
        <v>-1160.2159774485415</v>
      </c>
      <c r="F15" s="3" t="s">
        <v>50</v>
      </c>
      <c r="G15" s="12" t="str">
        <f t="shared" si="4"/>
        <v>26942.37</v>
      </c>
      <c r="H15" s="10">
        <f t="shared" si="5"/>
        <v>-1160</v>
      </c>
      <c r="I15" s="40" t="s">
        <v>57</v>
      </c>
      <c r="J15" s="41" t="s">
        <v>58</v>
      </c>
      <c r="K15" s="40">
        <v>-1160</v>
      </c>
      <c r="L15" s="40" t="s">
        <v>59</v>
      </c>
      <c r="M15" s="41" t="s">
        <v>54</v>
      </c>
      <c r="N15" s="41"/>
      <c r="O15" s="42" t="s">
        <v>55</v>
      </c>
      <c r="P15" s="42" t="s">
        <v>56</v>
      </c>
    </row>
    <row r="16" spans="1:16" ht="12.75" customHeight="1" thickBot="1" x14ac:dyDescent="0.25">
      <c r="A16" s="10" t="str">
        <f t="shared" si="0"/>
        <v> AN 276.177 </v>
      </c>
      <c r="B16" s="3" t="str">
        <f t="shared" si="1"/>
        <v>I</v>
      </c>
      <c r="C16" s="10">
        <f t="shared" si="2"/>
        <v>26951.32</v>
      </c>
      <c r="D16" s="12" t="str">
        <f t="shared" si="3"/>
        <v>vis</v>
      </c>
      <c r="E16" s="39">
        <f>VLOOKUP(C16,Active!C$21:E$973,3,FALSE)</f>
        <v>-1159.1949558108684</v>
      </c>
      <c r="F16" s="3" t="s">
        <v>50</v>
      </c>
      <c r="G16" s="12" t="str">
        <f t="shared" si="4"/>
        <v>26951.32</v>
      </c>
      <c r="H16" s="10">
        <f t="shared" si="5"/>
        <v>-1159</v>
      </c>
      <c r="I16" s="40" t="s">
        <v>60</v>
      </c>
      <c r="J16" s="41" t="s">
        <v>61</v>
      </c>
      <c r="K16" s="40">
        <v>-1159</v>
      </c>
      <c r="L16" s="40" t="s">
        <v>62</v>
      </c>
      <c r="M16" s="41" t="s">
        <v>54</v>
      </c>
      <c r="N16" s="41"/>
      <c r="O16" s="42" t="s">
        <v>55</v>
      </c>
      <c r="P16" s="42" t="s">
        <v>56</v>
      </c>
    </row>
    <row r="17" spans="1:16" ht="12.75" customHeight="1" thickBot="1" x14ac:dyDescent="0.25">
      <c r="A17" s="10" t="str">
        <f t="shared" si="0"/>
        <v> AN 276.177 </v>
      </c>
      <c r="B17" s="3" t="str">
        <f t="shared" si="1"/>
        <v>I</v>
      </c>
      <c r="C17" s="10">
        <f t="shared" si="2"/>
        <v>28749.439999999999</v>
      </c>
      <c r="D17" s="12" t="str">
        <f t="shared" si="3"/>
        <v>vis</v>
      </c>
      <c r="E17" s="39">
        <f>VLOOKUP(C17,Active!C$21:E$973,3,FALSE)</f>
        <v>-954.0642935614037</v>
      </c>
      <c r="F17" s="3" t="s">
        <v>50</v>
      </c>
      <c r="G17" s="12" t="str">
        <f t="shared" si="4"/>
        <v>28749.44</v>
      </c>
      <c r="H17" s="10">
        <f t="shared" si="5"/>
        <v>-954</v>
      </c>
      <c r="I17" s="40" t="s">
        <v>63</v>
      </c>
      <c r="J17" s="41" t="s">
        <v>64</v>
      </c>
      <c r="K17" s="40">
        <v>-954</v>
      </c>
      <c r="L17" s="40" t="s">
        <v>65</v>
      </c>
      <c r="M17" s="41" t="s">
        <v>54</v>
      </c>
      <c r="N17" s="41"/>
      <c r="O17" s="42" t="s">
        <v>55</v>
      </c>
      <c r="P17" s="42" t="s">
        <v>56</v>
      </c>
    </row>
    <row r="18" spans="1:16" ht="12.75" customHeight="1" thickBot="1" x14ac:dyDescent="0.25">
      <c r="A18" s="10" t="str">
        <f t="shared" si="0"/>
        <v> AN 276.177 </v>
      </c>
      <c r="B18" s="3" t="str">
        <f t="shared" si="1"/>
        <v>I</v>
      </c>
      <c r="C18" s="10">
        <f t="shared" si="2"/>
        <v>29170.29</v>
      </c>
      <c r="D18" s="12" t="str">
        <f t="shared" si="3"/>
        <v>vis</v>
      </c>
      <c r="E18" s="39">
        <f>VLOOKUP(C18,Active!C$21:E$973,3,FALSE)</f>
        <v>-906.05346046478746</v>
      </c>
      <c r="F18" s="3" t="s">
        <v>50</v>
      </c>
      <c r="G18" s="12" t="str">
        <f t="shared" si="4"/>
        <v>29170.29</v>
      </c>
      <c r="H18" s="10">
        <f t="shared" si="5"/>
        <v>-906</v>
      </c>
      <c r="I18" s="40" t="s">
        <v>66</v>
      </c>
      <c r="J18" s="41" t="s">
        <v>67</v>
      </c>
      <c r="K18" s="40">
        <v>-906</v>
      </c>
      <c r="L18" s="40" t="s">
        <v>68</v>
      </c>
      <c r="M18" s="41" t="s">
        <v>54</v>
      </c>
      <c r="N18" s="41"/>
      <c r="O18" s="42" t="s">
        <v>55</v>
      </c>
      <c r="P18" s="42" t="s">
        <v>56</v>
      </c>
    </row>
    <row r="19" spans="1:16" ht="12.75" customHeight="1" thickBot="1" x14ac:dyDescent="0.25">
      <c r="A19" s="10" t="str">
        <f t="shared" si="0"/>
        <v> IODE 4.1.275 </v>
      </c>
      <c r="B19" s="3" t="str">
        <f t="shared" si="1"/>
        <v>I</v>
      </c>
      <c r="C19" s="10">
        <f t="shared" si="2"/>
        <v>31152.41</v>
      </c>
      <c r="D19" s="12" t="str">
        <f t="shared" si="3"/>
        <v>vis</v>
      </c>
      <c r="E19" s="39">
        <f>VLOOKUP(C19,Active!C$21:E$973,3,FALSE)</f>
        <v>-679.93196231232344</v>
      </c>
      <c r="F19" s="3" t="s">
        <v>50</v>
      </c>
      <c r="G19" s="12" t="str">
        <f t="shared" si="4"/>
        <v>31152.41</v>
      </c>
      <c r="H19" s="10">
        <f t="shared" si="5"/>
        <v>-680</v>
      </c>
      <c r="I19" s="40" t="s">
        <v>69</v>
      </c>
      <c r="J19" s="41" t="s">
        <v>70</v>
      </c>
      <c r="K19" s="40">
        <v>-680</v>
      </c>
      <c r="L19" s="40" t="s">
        <v>71</v>
      </c>
      <c r="M19" s="41" t="s">
        <v>72</v>
      </c>
      <c r="N19" s="41"/>
      <c r="O19" s="42" t="s">
        <v>73</v>
      </c>
      <c r="P19" s="42" t="s">
        <v>74</v>
      </c>
    </row>
    <row r="20" spans="1:16" ht="12.75" customHeight="1" thickBot="1" x14ac:dyDescent="0.25">
      <c r="A20" s="10" t="str">
        <f t="shared" si="0"/>
        <v> AC 130.10 </v>
      </c>
      <c r="B20" s="3" t="str">
        <f t="shared" si="1"/>
        <v>I</v>
      </c>
      <c r="C20" s="10">
        <f t="shared" si="2"/>
        <v>33817.449999999997</v>
      </c>
      <c r="D20" s="12" t="str">
        <f t="shared" si="3"/>
        <v>vis</v>
      </c>
      <c r="E20" s="39">
        <f>VLOOKUP(C20,Active!C$21:E$973,3,FALSE)</f>
        <v>-375.90252038335711</v>
      </c>
      <c r="F20" s="3" t="s">
        <v>50</v>
      </c>
      <c r="G20" s="12" t="str">
        <f t="shared" si="4"/>
        <v>33817.45</v>
      </c>
      <c r="H20" s="10">
        <f t="shared" si="5"/>
        <v>-376</v>
      </c>
      <c r="I20" s="40" t="s">
        <v>75</v>
      </c>
      <c r="J20" s="41" t="s">
        <v>76</v>
      </c>
      <c r="K20" s="40">
        <v>-376</v>
      </c>
      <c r="L20" s="40" t="s">
        <v>77</v>
      </c>
      <c r="M20" s="41" t="s">
        <v>54</v>
      </c>
      <c r="N20" s="41"/>
      <c r="O20" s="42" t="s">
        <v>78</v>
      </c>
      <c r="P20" s="42" t="s">
        <v>79</v>
      </c>
    </row>
    <row r="21" spans="1:16" ht="12.75" customHeight="1" thickBot="1" x14ac:dyDescent="0.25">
      <c r="A21" s="10" t="str">
        <f t="shared" si="0"/>
        <v> AC 130.10 </v>
      </c>
      <c r="B21" s="3" t="str">
        <f t="shared" si="1"/>
        <v>I</v>
      </c>
      <c r="C21" s="10">
        <f t="shared" si="2"/>
        <v>33826.449999999997</v>
      </c>
      <c r="D21" s="12" t="str">
        <f t="shared" si="3"/>
        <v>vis</v>
      </c>
      <c r="E21" s="39">
        <f>VLOOKUP(C21,Active!C$21:E$973,3,FALSE)</f>
        <v>-374.87579471418866</v>
      </c>
      <c r="F21" s="3" t="s">
        <v>50</v>
      </c>
      <c r="G21" s="12" t="str">
        <f t="shared" si="4"/>
        <v>33826.45</v>
      </c>
      <c r="H21" s="10">
        <f t="shared" si="5"/>
        <v>-375</v>
      </c>
      <c r="I21" s="40" t="s">
        <v>80</v>
      </c>
      <c r="J21" s="41" t="s">
        <v>81</v>
      </c>
      <c r="K21" s="40">
        <v>-375</v>
      </c>
      <c r="L21" s="40" t="s">
        <v>82</v>
      </c>
      <c r="M21" s="41" t="s">
        <v>54</v>
      </c>
      <c r="N21" s="41"/>
      <c r="O21" s="42" t="s">
        <v>78</v>
      </c>
      <c r="P21" s="42" t="s">
        <v>79</v>
      </c>
    </row>
    <row r="22" spans="1:16" ht="12.75" customHeight="1" thickBot="1" x14ac:dyDescent="0.25">
      <c r="A22" s="10" t="str">
        <f t="shared" si="0"/>
        <v> AC 130.10 </v>
      </c>
      <c r="B22" s="3" t="str">
        <f t="shared" si="1"/>
        <v>I</v>
      </c>
      <c r="C22" s="10">
        <f t="shared" si="2"/>
        <v>33852.46</v>
      </c>
      <c r="D22" s="12" t="str">
        <f t="shared" si="3"/>
        <v>vis</v>
      </c>
      <c r="E22" s="39">
        <f>VLOOKUP(C22,Active!C$21:E$973,3,FALSE)</f>
        <v>-371.9085575302916</v>
      </c>
      <c r="F22" s="3" t="s">
        <v>50</v>
      </c>
      <c r="G22" s="12" t="str">
        <f t="shared" si="4"/>
        <v>33852.46</v>
      </c>
      <c r="H22" s="10">
        <f t="shared" si="5"/>
        <v>-372</v>
      </c>
      <c r="I22" s="40" t="s">
        <v>83</v>
      </c>
      <c r="J22" s="41" t="s">
        <v>84</v>
      </c>
      <c r="K22" s="40">
        <v>-372</v>
      </c>
      <c r="L22" s="40" t="s">
        <v>85</v>
      </c>
      <c r="M22" s="41" t="s">
        <v>54</v>
      </c>
      <c r="N22" s="41"/>
      <c r="O22" s="42" t="s">
        <v>78</v>
      </c>
      <c r="P22" s="42" t="s">
        <v>79</v>
      </c>
    </row>
    <row r="23" spans="1:16" ht="12.75" customHeight="1" thickBot="1" x14ac:dyDescent="0.25">
      <c r="A23" s="10" t="str">
        <f t="shared" si="0"/>
        <v> AC 130.10 </v>
      </c>
      <c r="B23" s="3" t="str">
        <f t="shared" si="1"/>
        <v>I</v>
      </c>
      <c r="C23" s="10">
        <f t="shared" si="2"/>
        <v>33861.49</v>
      </c>
      <c r="D23" s="12" t="str">
        <f t="shared" si="3"/>
        <v>vis</v>
      </c>
      <c r="E23" s="39">
        <f>VLOOKUP(C23,Active!C$21:E$973,3,FALSE)</f>
        <v>-370.87840944222609</v>
      </c>
      <c r="F23" s="3" t="s">
        <v>50</v>
      </c>
      <c r="G23" s="12" t="str">
        <f t="shared" si="4"/>
        <v>33861.49</v>
      </c>
      <c r="H23" s="10">
        <f t="shared" si="5"/>
        <v>-371</v>
      </c>
      <c r="I23" s="40" t="s">
        <v>86</v>
      </c>
      <c r="J23" s="41" t="s">
        <v>87</v>
      </c>
      <c r="K23" s="40">
        <v>-371</v>
      </c>
      <c r="L23" s="40" t="s">
        <v>88</v>
      </c>
      <c r="M23" s="41" t="s">
        <v>54</v>
      </c>
      <c r="N23" s="41"/>
      <c r="O23" s="42" t="s">
        <v>78</v>
      </c>
      <c r="P23" s="42" t="s">
        <v>79</v>
      </c>
    </row>
    <row r="24" spans="1:16" ht="12.75" customHeight="1" thickBot="1" x14ac:dyDescent="0.25">
      <c r="A24" s="10" t="str">
        <f t="shared" si="0"/>
        <v> AC 130.10 </v>
      </c>
      <c r="B24" s="3" t="str">
        <f t="shared" si="1"/>
        <v>I</v>
      </c>
      <c r="C24" s="10">
        <f t="shared" si="2"/>
        <v>33896.46</v>
      </c>
      <c r="D24" s="12" t="str">
        <f t="shared" si="3"/>
        <v>vis</v>
      </c>
      <c r="E24" s="39">
        <f>VLOOKUP(C24,Active!C$21:E$973,3,FALSE)</f>
        <v>-366.88900981435694</v>
      </c>
      <c r="F24" s="3" t="s">
        <v>50</v>
      </c>
      <c r="G24" s="12" t="str">
        <f t="shared" si="4"/>
        <v>33896.46</v>
      </c>
      <c r="H24" s="10">
        <f t="shared" si="5"/>
        <v>-367</v>
      </c>
      <c r="I24" s="40" t="s">
        <v>89</v>
      </c>
      <c r="J24" s="41" t="s">
        <v>90</v>
      </c>
      <c r="K24" s="40">
        <v>-367</v>
      </c>
      <c r="L24" s="40" t="s">
        <v>91</v>
      </c>
      <c r="M24" s="41" t="s">
        <v>54</v>
      </c>
      <c r="N24" s="41"/>
      <c r="O24" s="42" t="s">
        <v>78</v>
      </c>
      <c r="P24" s="42" t="s">
        <v>79</v>
      </c>
    </row>
    <row r="25" spans="1:16" ht="12.75" customHeight="1" thickBot="1" x14ac:dyDescent="0.25">
      <c r="A25" s="10" t="str">
        <f t="shared" si="0"/>
        <v> AC 130.10 </v>
      </c>
      <c r="B25" s="3" t="str">
        <f t="shared" si="1"/>
        <v>I</v>
      </c>
      <c r="C25" s="10">
        <f t="shared" si="2"/>
        <v>33914.33</v>
      </c>
      <c r="D25" s="12" t="str">
        <f t="shared" si="3"/>
        <v>vis</v>
      </c>
      <c r="E25" s="39">
        <f>VLOOKUP(C25,Active!C$21:E$973,3,FALSE)</f>
        <v>-364.85038895790774</v>
      </c>
      <c r="F25" s="3" t="s">
        <v>50</v>
      </c>
      <c r="G25" s="12" t="str">
        <f t="shared" si="4"/>
        <v>33914.33</v>
      </c>
      <c r="H25" s="10">
        <f t="shared" si="5"/>
        <v>-365</v>
      </c>
      <c r="I25" s="40" t="s">
        <v>92</v>
      </c>
      <c r="J25" s="41" t="s">
        <v>93</v>
      </c>
      <c r="K25" s="40">
        <v>-365</v>
      </c>
      <c r="L25" s="40" t="s">
        <v>94</v>
      </c>
      <c r="M25" s="41" t="s">
        <v>54</v>
      </c>
      <c r="N25" s="41"/>
      <c r="O25" s="42" t="s">
        <v>78</v>
      </c>
      <c r="P25" s="42" t="s">
        <v>79</v>
      </c>
    </row>
    <row r="26" spans="1:16" ht="12.75" customHeight="1" thickBot="1" x14ac:dyDescent="0.25">
      <c r="A26" s="10" t="str">
        <f t="shared" si="0"/>
        <v> MSAI 40.392 </v>
      </c>
      <c r="B26" s="3" t="str">
        <f t="shared" si="1"/>
        <v>I</v>
      </c>
      <c r="C26" s="10">
        <f t="shared" si="2"/>
        <v>36805.35</v>
      </c>
      <c r="D26" s="12" t="str">
        <f t="shared" si="3"/>
        <v>vis</v>
      </c>
      <c r="E26" s="39">
        <f>VLOOKUP(C26,Active!C$21:E$973,3,FALSE)</f>
        <v>-35.041006282420689</v>
      </c>
      <c r="F26" s="3" t="s">
        <v>50</v>
      </c>
      <c r="G26" s="12" t="str">
        <f t="shared" si="4"/>
        <v>36805.35</v>
      </c>
      <c r="H26" s="10">
        <f t="shared" si="5"/>
        <v>-35</v>
      </c>
      <c r="I26" s="40" t="s">
        <v>95</v>
      </c>
      <c r="J26" s="41" t="s">
        <v>96</v>
      </c>
      <c r="K26" s="40">
        <v>-35</v>
      </c>
      <c r="L26" s="40" t="s">
        <v>97</v>
      </c>
      <c r="M26" s="41" t="s">
        <v>54</v>
      </c>
      <c r="N26" s="41"/>
      <c r="O26" s="42" t="s">
        <v>98</v>
      </c>
      <c r="P26" s="42" t="s">
        <v>99</v>
      </c>
    </row>
    <row r="27" spans="1:16" ht="12.75" customHeight="1" thickBot="1" x14ac:dyDescent="0.25">
      <c r="A27" s="10" t="str">
        <f t="shared" si="0"/>
        <v> HABZ 28 </v>
      </c>
      <c r="B27" s="3" t="str">
        <f t="shared" si="1"/>
        <v>I</v>
      </c>
      <c r="C27" s="10">
        <f t="shared" si="2"/>
        <v>36847.440000000002</v>
      </c>
      <c r="D27" s="12" t="str">
        <f t="shared" si="3"/>
        <v>vis</v>
      </c>
      <c r="E27" s="39">
        <f>VLOOKUP(C27,Active!C$21:E$973,3,FALSE)</f>
        <v>-30.239352569609117</v>
      </c>
      <c r="F27" s="3" t="s">
        <v>50</v>
      </c>
      <c r="G27" s="12" t="str">
        <f t="shared" si="4"/>
        <v>36847.44</v>
      </c>
      <c r="H27" s="10">
        <f t="shared" si="5"/>
        <v>-30</v>
      </c>
      <c r="I27" s="40" t="s">
        <v>100</v>
      </c>
      <c r="J27" s="41" t="s">
        <v>101</v>
      </c>
      <c r="K27" s="40">
        <v>-30</v>
      </c>
      <c r="L27" s="40" t="s">
        <v>102</v>
      </c>
      <c r="M27" s="41" t="s">
        <v>54</v>
      </c>
      <c r="N27" s="41"/>
      <c r="O27" s="42" t="s">
        <v>103</v>
      </c>
      <c r="P27" s="42" t="s">
        <v>104</v>
      </c>
    </row>
    <row r="28" spans="1:16" ht="12.75" customHeight="1" thickBot="1" x14ac:dyDescent="0.25">
      <c r="A28" s="10" t="str">
        <f t="shared" si="0"/>
        <v> MSAI 40.392 </v>
      </c>
      <c r="B28" s="3" t="str">
        <f t="shared" si="1"/>
        <v>I</v>
      </c>
      <c r="C28" s="10">
        <f t="shared" si="2"/>
        <v>36867.269999999997</v>
      </c>
      <c r="D28" s="12" t="str">
        <f t="shared" si="3"/>
        <v>vis</v>
      </c>
      <c r="E28" s="39">
        <f>VLOOKUP(C28,Active!C$21:E$973,3,FALSE)</f>
        <v>-27.977133678541918</v>
      </c>
      <c r="F28" s="3" t="s">
        <v>50</v>
      </c>
      <c r="G28" s="12" t="str">
        <f t="shared" si="4"/>
        <v>36867.27</v>
      </c>
      <c r="H28" s="10">
        <f t="shared" si="5"/>
        <v>-28</v>
      </c>
      <c r="I28" s="40" t="s">
        <v>105</v>
      </c>
      <c r="J28" s="41" t="s">
        <v>106</v>
      </c>
      <c r="K28" s="40">
        <v>-28</v>
      </c>
      <c r="L28" s="40" t="s">
        <v>107</v>
      </c>
      <c r="M28" s="41" t="s">
        <v>54</v>
      </c>
      <c r="N28" s="41"/>
      <c r="O28" s="42" t="s">
        <v>98</v>
      </c>
      <c r="P28" s="42" t="s">
        <v>99</v>
      </c>
    </row>
    <row r="29" spans="1:16" ht="12.75" customHeight="1" thickBot="1" x14ac:dyDescent="0.25">
      <c r="A29" s="10" t="str">
        <f t="shared" si="0"/>
        <v> HABZ 28 </v>
      </c>
      <c r="B29" s="3" t="str">
        <f t="shared" si="1"/>
        <v>I</v>
      </c>
      <c r="C29" s="10">
        <f t="shared" si="2"/>
        <v>37189.4</v>
      </c>
      <c r="D29" s="12" t="str">
        <f t="shared" si="3"/>
        <v>vis</v>
      </c>
      <c r="E29" s="39">
        <f>VLOOKUP(C29,Active!C$21:E$973,3,FALSE)</f>
        <v>8.7716596335957675</v>
      </c>
      <c r="F29" s="3" t="s">
        <v>50</v>
      </c>
      <c r="G29" s="12" t="str">
        <f t="shared" si="4"/>
        <v>37189.40</v>
      </c>
      <c r="H29" s="10">
        <f t="shared" si="5"/>
        <v>9</v>
      </c>
      <c r="I29" s="40" t="s">
        <v>111</v>
      </c>
      <c r="J29" s="41" t="s">
        <v>112</v>
      </c>
      <c r="K29" s="40">
        <v>9</v>
      </c>
      <c r="L29" s="40" t="s">
        <v>113</v>
      </c>
      <c r="M29" s="41" t="s">
        <v>54</v>
      </c>
      <c r="N29" s="41"/>
      <c r="O29" s="42" t="s">
        <v>103</v>
      </c>
      <c r="P29" s="42" t="s">
        <v>104</v>
      </c>
    </row>
    <row r="30" spans="1:16" ht="12.75" customHeight="1" thickBot="1" x14ac:dyDescent="0.25">
      <c r="A30" s="10" t="str">
        <f t="shared" si="0"/>
        <v> MSAI 40.392 </v>
      </c>
      <c r="B30" s="3" t="str">
        <f t="shared" si="1"/>
        <v>I</v>
      </c>
      <c r="C30" s="10">
        <f t="shared" si="2"/>
        <v>37200.370000000003</v>
      </c>
      <c r="D30" s="12" t="str">
        <f t="shared" si="3"/>
        <v>vis</v>
      </c>
      <c r="E30" s="39">
        <f>VLOOKUP(C30,Active!C$21:E$973,3,FALSE)</f>
        <v>10.023124143682338</v>
      </c>
      <c r="F30" s="3" t="s">
        <v>50</v>
      </c>
      <c r="G30" s="12" t="str">
        <f t="shared" si="4"/>
        <v>37200.37</v>
      </c>
      <c r="H30" s="10">
        <f t="shared" si="5"/>
        <v>10</v>
      </c>
      <c r="I30" s="40" t="s">
        <v>114</v>
      </c>
      <c r="J30" s="41" t="s">
        <v>115</v>
      </c>
      <c r="K30" s="40">
        <v>10</v>
      </c>
      <c r="L30" s="40" t="s">
        <v>107</v>
      </c>
      <c r="M30" s="41" t="s">
        <v>54</v>
      </c>
      <c r="N30" s="41"/>
      <c r="O30" s="42" t="s">
        <v>98</v>
      </c>
      <c r="P30" s="42" t="s">
        <v>99</v>
      </c>
    </row>
    <row r="31" spans="1:16" ht="12.75" customHeight="1" thickBot="1" x14ac:dyDescent="0.25">
      <c r="A31" s="10" t="str">
        <f t="shared" si="0"/>
        <v> MSAI 40.392 </v>
      </c>
      <c r="B31" s="3" t="str">
        <f t="shared" si="1"/>
        <v>I</v>
      </c>
      <c r="C31" s="10">
        <f t="shared" si="2"/>
        <v>37489.53</v>
      </c>
      <c r="D31" s="12" t="str">
        <f t="shared" si="3"/>
        <v>vis</v>
      </c>
      <c r="E31" s="39">
        <f>VLOOKUP(C31,Active!C$21:E$973,3,FALSE)</f>
        <v>43.01067908776529</v>
      </c>
      <c r="F31" s="3" t="s">
        <v>50</v>
      </c>
      <c r="G31" s="12" t="str">
        <f t="shared" si="4"/>
        <v>37489.53</v>
      </c>
      <c r="H31" s="10">
        <f t="shared" si="5"/>
        <v>43</v>
      </c>
      <c r="I31" s="40" t="s">
        <v>116</v>
      </c>
      <c r="J31" s="41" t="s">
        <v>117</v>
      </c>
      <c r="K31" s="40">
        <v>43</v>
      </c>
      <c r="L31" s="40" t="s">
        <v>118</v>
      </c>
      <c r="M31" s="41" t="s">
        <v>54</v>
      </c>
      <c r="N31" s="41"/>
      <c r="O31" s="42" t="s">
        <v>98</v>
      </c>
      <c r="P31" s="42" t="s">
        <v>99</v>
      </c>
    </row>
    <row r="32" spans="1:16" ht="12.75" customHeight="1" thickBot="1" x14ac:dyDescent="0.25">
      <c r="A32" s="10" t="str">
        <f t="shared" si="0"/>
        <v> MSAI 40.392 </v>
      </c>
      <c r="B32" s="3" t="str">
        <f t="shared" si="1"/>
        <v>I</v>
      </c>
      <c r="C32" s="10">
        <f t="shared" si="2"/>
        <v>37524.480000000003</v>
      </c>
      <c r="D32" s="12" t="str">
        <f t="shared" si="3"/>
        <v>vis</v>
      </c>
      <c r="E32" s="39">
        <f>VLOOKUP(C32,Active!C$21:E$973,3,FALSE)</f>
        <v>46.997797103036618</v>
      </c>
      <c r="F32" s="3" t="s">
        <v>50</v>
      </c>
      <c r="G32" s="12" t="str">
        <f t="shared" si="4"/>
        <v>37524.48</v>
      </c>
      <c r="H32" s="10">
        <f t="shared" si="5"/>
        <v>47</v>
      </c>
      <c r="I32" s="40" t="s">
        <v>119</v>
      </c>
      <c r="J32" s="41" t="s">
        <v>120</v>
      </c>
      <c r="K32" s="40">
        <v>47</v>
      </c>
      <c r="L32" s="40" t="s">
        <v>121</v>
      </c>
      <c r="M32" s="41" t="s">
        <v>54</v>
      </c>
      <c r="N32" s="41"/>
      <c r="O32" s="42" t="s">
        <v>98</v>
      </c>
      <c r="P32" s="42" t="s">
        <v>99</v>
      </c>
    </row>
    <row r="33" spans="1:16" ht="12.75" customHeight="1" thickBot="1" x14ac:dyDescent="0.25">
      <c r="A33" s="10" t="str">
        <f t="shared" si="0"/>
        <v> MSAI 40.392 </v>
      </c>
      <c r="B33" s="3" t="str">
        <f t="shared" si="1"/>
        <v>I</v>
      </c>
      <c r="C33" s="10">
        <f t="shared" si="2"/>
        <v>37542.400000000001</v>
      </c>
      <c r="D33" s="12" t="str">
        <f t="shared" si="3"/>
        <v>vis</v>
      </c>
      <c r="E33" s="39">
        <f>VLOOKUP(C33,Active!C$21:E$973,3,FALSE)</f>
        <v>49.042121990980725</v>
      </c>
      <c r="F33" s="3" t="s">
        <v>50</v>
      </c>
      <c r="G33" s="12" t="str">
        <f t="shared" si="4"/>
        <v>37542.40</v>
      </c>
      <c r="H33" s="10">
        <f t="shared" si="5"/>
        <v>49</v>
      </c>
      <c r="I33" s="40" t="s">
        <v>122</v>
      </c>
      <c r="J33" s="41" t="s">
        <v>123</v>
      </c>
      <c r="K33" s="40">
        <v>49</v>
      </c>
      <c r="L33" s="40" t="s">
        <v>124</v>
      </c>
      <c r="M33" s="41" t="s">
        <v>54</v>
      </c>
      <c r="N33" s="41"/>
      <c r="O33" s="42" t="s">
        <v>98</v>
      </c>
      <c r="P33" s="42" t="s">
        <v>99</v>
      </c>
    </row>
    <row r="34" spans="1:16" ht="12.75" customHeight="1" thickBot="1" x14ac:dyDescent="0.25">
      <c r="A34" s="10" t="str">
        <f t="shared" si="0"/>
        <v> HABZ 28 </v>
      </c>
      <c r="B34" s="3" t="str">
        <f t="shared" si="1"/>
        <v>I</v>
      </c>
      <c r="C34" s="10">
        <f t="shared" si="2"/>
        <v>37544.42</v>
      </c>
      <c r="D34" s="12" t="str">
        <f t="shared" si="3"/>
        <v>vis</v>
      </c>
      <c r="E34" s="39">
        <f>VLOOKUP(C34,Active!C$21:E$973,3,FALSE)</f>
        <v>49.272564863393718</v>
      </c>
      <c r="F34" s="3" t="s">
        <v>50</v>
      </c>
      <c r="G34" s="12" t="str">
        <f t="shared" si="4"/>
        <v>37544.42</v>
      </c>
      <c r="H34" s="10">
        <f t="shared" si="5"/>
        <v>49</v>
      </c>
      <c r="I34" s="40" t="s">
        <v>125</v>
      </c>
      <c r="J34" s="41" t="s">
        <v>126</v>
      </c>
      <c r="K34" s="40">
        <v>49</v>
      </c>
      <c r="L34" s="40" t="s">
        <v>127</v>
      </c>
      <c r="M34" s="41" t="s">
        <v>54</v>
      </c>
      <c r="N34" s="41"/>
      <c r="O34" s="42" t="s">
        <v>103</v>
      </c>
      <c r="P34" s="42" t="s">
        <v>104</v>
      </c>
    </row>
    <row r="35" spans="1:16" ht="12.75" customHeight="1" thickBot="1" x14ac:dyDescent="0.25">
      <c r="A35" s="10" t="str">
        <f t="shared" si="0"/>
        <v> HABZ 28 </v>
      </c>
      <c r="B35" s="3" t="str">
        <f t="shared" si="1"/>
        <v>I</v>
      </c>
      <c r="C35" s="10">
        <f t="shared" si="2"/>
        <v>37579.39</v>
      </c>
      <c r="D35" s="12" t="str">
        <f t="shared" si="3"/>
        <v>vis</v>
      </c>
      <c r="E35" s="39">
        <f>VLOOKUP(C35,Active!C$21:E$973,3,FALSE)</f>
        <v>53.261964491262837</v>
      </c>
      <c r="F35" s="3" t="s">
        <v>50</v>
      </c>
      <c r="G35" s="12" t="str">
        <f t="shared" si="4"/>
        <v>37579.39</v>
      </c>
      <c r="H35" s="10">
        <f t="shared" si="5"/>
        <v>53</v>
      </c>
      <c r="I35" s="40" t="s">
        <v>128</v>
      </c>
      <c r="J35" s="41" t="s">
        <v>129</v>
      </c>
      <c r="K35" s="40">
        <v>53</v>
      </c>
      <c r="L35" s="40" t="s">
        <v>130</v>
      </c>
      <c r="M35" s="41" t="s">
        <v>54</v>
      </c>
      <c r="N35" s="41"/>
      <c r="O35" s="42" t="s">
        <v>103</v>
      </c>
      <c r="P35" s="42" t="s">
        <v>104</v>
      </c>
    </row>
    <row r="36" spans="1:16" ht="12.75" customHeight="1" thickBot="1" x14ac:dyDescent="0.25">
      <c r="A36" s="10" t="str">
        <f t="shared" si="0"/>
        <v> MSAI 40.392 </v>
      </c>
      <c r="B36" s="3" t="str">
        <f t="shared" si="1"/>
        <v>I</v>
      </c>
      <c r="C36" s="10">
        <f t="shared" si="2"/>
        <v>40119.339999999997</v>
      </c>
      <c r="D36" s="12" t="str">
        <f t="shared" si="3"/>
        <v>vis</v>
      </c>
      <c r="E36" s="39">
        <f>VLOOKUP(C36,Active!C$21:E$973,3,FALSE)</f>
        <v>343.0210604250866</v>
      </c>
      <c r="F36" s="3" t="s">
        <v>50</v>
      </c>
      <c r="G36" s="12" t="str">
        <f t="shared" si="4"/>
        <v>40119.34</v>
      </c>
      <c r="H36" s="10">
        <f t="shared" si="5"/>
        <v>343</v>
      </c>
      <c r="I36" s="40" t="s">
        <v>131</v>
      </c>
      <c r="J36" s="41" t="s">
        <v>132</v>
      </c>
      <c r="K36" s="40">
        <v>343</v>
      </c>
      <c r="L36" s="40" t="s">
        <v>133</v>
      </c>
      <c r="M36" s="41" t="s">
        <v>54</v>
      </c>
      <c r="N36" s="41"/>
      <c r="O36" s="42" t="s">
        <v>98</v>
      </c>
      <c r="P36" s="42" t="s">
        <v>99</v>
      </c>
    </row>
    <row r="37" spans="1:16" ht="12.75" customHeight="1" thickBot="1" x14ac:dyDescent="0.25">
      <c r="A37" s="10" t="str">
        <f t="shared" si="0"/>
        <v> MSAI 40.392 </v>
      </c>
      <c r="B37" s="3" t="str">
        <f t="shared" si="1"/>
        <v>I</v>
      </c>
      <c r="C37" s="10">
        <f t="shared" si="2"/>
        <v>40145.339999999997</v>
      </c>
      <c r="D37" s="12" t="str">
        <f t="shared" si="3"/>
        <v>vis</v>
      </c>
      <c r="E37" s="39">
        <f>VLOOKUP(C37,Active!C$21:E$973,3,FALSE)</f>
        <v>345.98715680268441</v>
      </c>
      <c r="F37" s="3" t="s">
        <v>50</v>
      </c>
      <c r="G37" s="12" t="str">
        <f t="shared" si="4"/>
        <v>40145.34</v>
      </c>
      <c r="H37" s="10">
        <f t="shared" si="5"/>
        <v>346</v>
      </c>
      <c r="I37" s="40" t="s">
        <v>134</v>
      </c>
      <c r="J37" s="41" t="s">
        <v>135</v>
      </c>
      <c r="K37" s="40">
        <v>346</v>
      </c>
      <c r="L37" s="40" t="s">
        <v>136</v>
      </c>
      <c r="M37" s="41" t="s">
        <v>54</v>
      </c>
      <c r="N37" s="41"/>
      <c r="O37" s="42" t="s">
        <v>98</v>
      </c>
      <c r="P37" s="42" t="s">
        <v>99</v>
      </c>
    </row>
    <row r="38" spans="1:16" ht="12.75" customHeight="1" thickBot="1" x14ac:dyDescent="0.25">
      <c r="A38" s="10" t="str">
        <f t="shared" si="0"/>
        <v>BAVM 171 </v>
      </c>
      <c r="B38" s="3" t="str">
        <f t="shared" si="1"/>
        <v>I</v>
      </c>
      <c r="C38" s="10">
        <f t="shared" si="2"/>
        <v>52863</v>
      </c>
      <c r="D38" s="12" t="str">
        <f t="shared" si="3"/>
        <v>vis</v>
      </c>
      <c r="E38" s="39">
        <f>VLOOKUP(C38,Active!C$21:E$973,3,FALSE)</f>
        <v>1796.8258205534505</v>
      </c>
      <c r="F38" s="3" t="s">
        <v>50</v>
      </c>
      <c r="G38" s="12" t="str">
        <f t="shared" si="4"/>
        <v>52863.00</v>
      </c>
      <c r="H38" s="10">
        <f t="shared" si="5"/>
        <v>1797</v>
      </c>
      <c r="I38" s="40" t="s">
        <v>137</v>
      </c>
      <c r="J38" s="41" t="s">
        <v>138</v>
      </c>
      <c r="K38" s="40">
        <v>1797</v>
      </c>
      <c r="L38" s="40" t="s">
        <v>139</v>
      </c>
      <c r="M38" s="41" t="s">
        <v>72</v>
      </c>
      <c r="N38" s="41"/>
      <c r="O38" s="42" t="s">
        <v>140</v>
      </c>
      <c r="P38" s="43" t="s">
        <v>141</v>
      </c>
    </row>
    <row r="39" spans="1:16" ht="12.75" customHeight="1" thickBot="1" x14ac:dyDescent="0.25">
      <c r="A39" s="10" t="str">
        <f t="shared" si="0"/>
        <v>BAVM 171 </v>
      </c>
      <c r="B39" s="3" t="str">
        <f t="shared" si="1"/>
        <v>II</v>
      </c>
      <c r="C39" s="10">
        <f t="shared" si="2"/>
        <v>52867.22</v>
      </c>
      <c r="D39" s="12" t="str">
        <f t="shared" si="3"/>
        <v>vis</v>
      </c>
      <c r="E39" s="39">
        <f>VLOOKUP(C39,Active!C$21:E$973,3,FALSE)</f>
        <v>1797.3072408116609</v>
      </c>
      <c r="F39" s="3" t="s">
        <v>50</v>
      </c>
      <c r="G39" s="12" t="str">
        <f t="shared" si="4"/>
        <v>52867.22</v>
      </c>
      <c r="H39" s="10">
        <f t="shared" si="5"/>
        <v>1797.5</v>
      </c>
      <c r="I39" s="40" t="s">
        <v>142</v>
      </c>
      <c r="J39" s="41" t="s">
        <v>143</v>
      </c>
      <c r="K39" s="40">
        <v>1797.5</v>
      </c>
      <c r="L39" s="40" t="s">
        <v>144</v>
      </c>
      <c r="M39" s="41" t="s">
        <v>72</v>
      </c>
      <c r="N39" s="41"/>
      <c r="O39" s="42" t="s">
        <v>140</v>
      </c>
      <c r="P39" s="43" t="s">
        <v>141</v>
      </c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</sheetData>
  <phoneticPr fontId="7" type="noConversion"/>
  <hyperlinks>
    <hyperlink ref="P38" r:id="rId1" display="http://www.bav-astro.de/sfs/BAVM_link.php?BAVMnr=171"/>
    <hyperlink ref="P39" r:id="rId2" display="http://www.bav-astro.de/sfs/BAVM_link.php?BAVMnr=171"/>
    <hyperlink ref="P12" r:id="rId3" display="http://www.bav-astro.de/sfs/BAVM_link.php?BAVMnr=174"/>
    <hyperlink ref="P13" r:id="rId4" display="http://www.bav-astro.de/sfs/BAVM_link.php?BAVMnr=17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2024-01-31T03:22:26Z</dcterms:modified>
</cp:coreProperties>
</file>