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DDB12F-01C3-47D7-85A6-D49B5AC2F2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3" i="1" l="1"/>
  <c r="Q102" i="1"/>
  <c r="C7" i="1"/>
  <c r="E102" i="1"/>
  <c r="F102" i="1"/>
  <c r="C8" i="1"/>
  <c r="E81" i="1"/>
  <c r="F81" i="1"/>
  <c r="E84" i="1"/>
  <c r="F84" i="1"/>
  <c r="E86" i="1"/>
  <c r="F86" i="1"/>
  <c r="G86" i="1"/>
  <c r="E90" i="1"/>
  <c r="F90" i="1"/>
  <c r="E93" i="1"/>
  <c r="F93" i="1"/>
  <c r="E95" i="1"/>
  <c r="F95" i="1"/>
  <c r="G95" i="1"/>
  <c r="E98" i="1"/>
  <c r="F98" i="1"/>
  <c r="E88" i="1"/>
  <c r="F88" i="1"/>
  <c r="D9" i="1"/>
  <c r="C9" i="1"/>
  <c r="E76" i="1"/>
  <c r="F76" i="1"/>
  <c r="G76" i="1"/>
  <c r="J76" i="1"/>
  <c r="E74" i="1"/>
  <c r="F74" i="1"/>
  <c r="G74" i="1"/>
  <c r="H74" i="1"/>
  <c r="E72" i="1"/>
  <c r="F72" i="1"/>
  <c r="G72" i="1"/>
  <c r="H72" i="1"/>
  <c r="E70" i="1"/>
  <c r="F70" i="1"/>
  <c r="G70" i="1"/>
  <c r="H70" i="1"/>
  <c r="E69" i="1"/>
  <c r="F69" i="1"/>
  <c r="G69" i="1"/>
  <c r="H69" i="1"/>
  <c r="E68" i="1"/>
  <c r="F68" i="1"/>
  <c r="G68" i="1"/>
  <c r="H68" i="1"/>
  <c r="E67" i="1"/>
  <c r="F67" i="1"/>
  <c r="G67" i="1"/>
  <c r="H67" i="1"/>
  <c r="E66" i="1"/>
  <c r="F66" i="1"/>
  <c r="G66" i="1"/>
  <c r="H66" i="1"/>
  <c r="E65" i="1"/>
  <c r="F65" i="1"/>
  <c r="G65" i="1"/>
  <c r="H65" i="1"/>
  <c r="E64" i="1"/>
  <c r="F64" i="1"/>
  <c r="G64" i="1"/>
  <c r="H64" i="1"/>
  <c r="E63" i="1"/>
  <c r="F63" i="1"/>
  <c r="G63" i="1"/>
  <c r="H63" i="1"/>
  <c r="E62" i="1"/>
  <c r="F62" i="1"/>
  <c r="G62" i="1"/>
  <c r="H62" i="1"/>
  <c r="E61" i="1"/>
  <c r="F61" i="1"/>
  <c r="G61" i="1"/>
  <c r="H61" i="1"/>
  <c r="E60" i="1"/>
  <c r="F60" i="1"/>
  <c r="G60" i="1"/>
  <c r="H60" i="1"/>
  <c r="E59" i="1"/>
  <c r="F59" i="1"/>
  <c r="G59" i="1"/>
  <c r="H59" i="1"/>
  <c r="E58" i="1"/>
  <c r="F58" i="1"/>
  <c r="G58" i="1"/>
  <c r="H58" i="1"/>
  <c r="E57" i="1"/>
  <c r="F57" i="1"/>
  <c r="G57" i="1"/>
  <c r="H57" i="1"/>
  <c r="E56" i="1"/>
  <c r="F56" i="1"/>
  <c r="G56" i="1"/>
  <c r="H56" i="1"/>
  <c r="E55" i="1"/>
  <c r="F55" i="1"/>
  <c r="G55" i="1"/>
  <c r="H55" i="1"/>
  <c r="E54" i="1"/>
  <c r="F54" i="1"/>
  <c r="G54" i="1"/>
  <c r="H54" i="1"/>
  <c r="E53" i="1"/>
  <c r="F53" i="1"/>
  <c r="G53" i="1"/>
  <c r="H53" i="1"/>
  <c r="E52" i="1"/>
  <c r="F52" i="1"/>
  <c r="G52" i="1"/>
  <c r="H52" i="1"/>
  <c r="E51" i="1"/>
  <c r="F51" i="1"/>
  <c r="G51" i="1"/>
  <c r="H51" i="1"/>
  <c r="E50" i="1"/>
  <c r="F50" i="1"/>
  <c r="G50" i="1"/>
  <c r="H50" i="1"/>
  <c r="E49" i="1"/>
  <c r="F49" i="1"/>
  <c r="G49" i="1"/>
  <c r="H49" i="1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E44" i="1"/>
  <c r="F44" i="1"/>
  <c r="G44" i="1"/>
  <c r="H44" i="1"/>
  <c r="E43" i="1"/>
  <c r="F43" i="1"/>
  <c r="G43" i="1"/>
  <c r="H43" i="1"/>
  <c r="E42" i="1"/>
  <c r="F42" i="1"/>
  <c r="G42" i="1"/>
  <c r="H42" i="1"/>
  <c r="E41" i="1"/>
  <c r="F41" i="1"/>
  <c r="G41" i="1"/>
  <c r="H41" i="1"/>
  <c r="E40" i="1"/>
  <c r="F40" i="1"/>
  <c r="G40" i="1"/>
  <c r="H40" i="1"/>
  <c r="E39" i="1"/>
  <c r="F39" i="1"/>
  <c r="G39" i="1"/>
  <c r="H39" i="1"/>
  <c r="E38" i="1"/>
  <c r="F38" i="1"/>
  <c r="G38" i="1"/>
  <c r="H38" i="1"/>
  <c r="E37" i="1"/>
  <c r="F37" i="1"/>
  <c r="G37" i="1"/>
  <c r="H37" i="1"/>
  <c r="E36" i="1"/>
  <c r="F36" i="1"/>
  <c r="G36" i="1"/>
  <c r="H36" i="1"/>
  <c r="E35" i="1"/>
  <c r="F35" i="1"/>
  <c r="G35" i="1"/>
  <c r="H35" i="1"/>
  <c r="E34" i="1"/>
  <c r="F34" i="1"/>
  <c r="G34" i="1"/>
  <c r="H34" i="1"/>
  <c r="E33" i="1"/>
  <c r="F33" i="1"/>
  <c r="G33" i="1"/>
  <c r="H33" i="1"/>
  <c r="E32" i="1"/>
  <c r="F32" i="1"/>
  <c r="G32" i="1"/>
  <c r="H32" i="1"/>
  <c r="E31" i="1"/>
  <c r="F31" i="1"/>
  <c r="G31" i="1"/>
  <c r="H31" i="1"/>
  <c r="E30" i="1"/>
  <c r="F30" i="1"/>
  <c r="G30" i="1"/>
  <c r="H30" i="1"/>
  <c r="E29" i="1"/>
  <c r="F29" i="1"/>
  <c r="G29" i="1"/>
  <c r="H29" i="1"/>
  <c r="E28" i="1"/>
  <c r="F28" i="1"/>
  <c r="G28" i="1"/>
  <c r="H28" i="1"/>
  <c r="E26" i="1"/>
  <c r="F26" i="1"/>
  <c r="G26" i="1"/>
  <c r="H26" i="1"/>
  <c r="E25" i="1"/>
  <c r="F25" i="1"/>
  <c r="G25" i="1"/>
  <c r="H25" i="1"/>
  <c r="E24" i="1"/>
  <c r="F24" i="1"/>
  <c r="G24" i="1"/>
  <c r="H24" i="1"/>
  <c r="E23" i="1"/>
  <c r="F23" i="1"/>
  <c r="G23" i="1"/>
  <c r="H23" i="1"/>
  <c r="E22" i="1"/>
  <c r="F22" i="1"/>
  <c r="G22" i="1"/>
  <c r="H22" i="1"/>
  <c r="E21" i="1"/>
  <c r="F21" i="1"/>
  <c r="G21" i="1"/>
  <c r="H21" i="1"/>
  <c r="Q101" i="1"/>
  <c r="E78" i="1"/>
  <c r="F78" i="1"/>
  <c r="G78" i="1"/>
  <c r="E77" i="1"/>
  <c r="F77" i="1"/>
  <c r="E27" i="1"/>
  <c r="F27" i="1"/>
  <c r="Q98" i="1"/>
  <c r="Q92" i="1"/>
  <c r="Q91" i="1"/>
  <c r="Q89" i="1"/>
  <c r="Q83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G90" i="2"/>
  <c r="C90" i="2"/>
  <c r="G25" i="2"/>
  <c r="C25" i="2"/>
  <c r="G24" i="2"/>
  <c r="C24" i="2"/>
  <c r="G89" i="2"/>
  <c r="C89" i="2"/>
  <c r="E89" i="2"/>
  <c r="G23" i="2"/>
  <c r="C23" i="2"/>
  <c r="G22" i="2"/>
  <c r="C22" i="2"/>
  <c r="G21" i="2"/>
  <c r="C21" i="2"/>
  <c r="E21" i="2"/>
  <c r="G88" i="2"/>
  <c r="C88" i="2"/>
  <c r="E88" i="2"/>
  <c r="G87" i="2"/>
  <c r="C87" i="2"/>
  <c r="E87" i="2"/>
  <c r="G86" i="2"/>
  <c r="C86" i="2"/>
  <c r="G85" i="2"/>
  <c r="C85" i="2"/>
  <c r="G20" i="2"/>
  <c r="C20" i="2"/>
  <c r="E20" i="2"/>
  <c r="G84" i="2"/>
  <c r="C84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83" i="2"/>
  <c r="C83" i="2"/>
  <c r="G82" i="2"/>
  <c r="C82" i="2"/>
  <c r="E82" i="2"/>
  <c r="G14" i="2"/>
  <c r="C14" i="2"/>
  <c r="E14" i="2"/>
  <c r="G13" i="2"/>
  <c r="C13" i="2"/>
  <c r="G81" i="2"/>
  <c r="C81" i="2"/>
  <c r="E81" i="2"/>
  <c r="G12" i="2"/>
  <c r="C12" i="2"/>
  <c r="E12" i="2"/>
  <c r="G11" i="2"/>
  <c r="C11" i="2"/>
  <c r="E1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H90" i="2"/>
  <c r="B90" i="2"/>
  <c r="D90" i="2"/>
  <c r="A90" i="2"/>
  <c r="H25" i="2"/>
  <c r="B25" i="2"/>
  <c r="D25" i="2"/>
  <c r="A25" i="2"/>
  <c r="H24" i="2"/>
  <c r="B24" i="2"/>
  <c r="D24" i="2"/>
  <c r="A24" i="2"/>
  <c r="H89" i="2"/>
  <c r="B89" i="2"/>
  <c r="D89" i="2"/>
  <c r="A89" i="2"/>
  <c r="H23" i="2"/>
  <c r="B23" i="2"/>
  <c r="D23" i="2"/>
  <c r="A23" i="2"/>
  <c r="H22" i="2"/>
  <c r="B22" i="2"/>
  <c r="D22" i="2"/>
  <c r="A22" i="2"/>
  <c r="H21" i="2"/>
  <c r="B21" i="2"/>
  <c r="D21" i="2"/>
  <c r="A21" i="2"/>
  <c r="H88" i="2"/>
  <c r="B88" i="2"/>
  <c r="D88" i="2"/>
  <c r="A88" i="2"/>
  <c r="H87" i="2"/>
  <c r="F87" i="2"/>
  <c r="D87" i="2"/>
  <c r="B87" i="2"/>
  <c r="A87" i="2"/>
  <c r="H86" i="2"/>
  <c r="F86" i="2"/>
  <c r="D86" i="2"/>
  <c r="B86" i="2"/>
  <c r="A86" i="2"/>
  <c r="H85" i="2"/>
  <c r="F85" i="2"/>
  <c r="D85" i="2"/>
  <c r="B85" i="2"/>
  <c r="A85" i="2"/>
  <c r="H20" i="2"/>
  <c r="F20" i="2"/>
  <c r="D20" i="2"/>
  <c r="B20" i="2"/>
  <c r="A20" i="2"/>
  <c r="H84" i="2"/>
  <c r="B84" i="2"/>
  <c r="F84" i="2"/>
  <c r="D84" i="2"/>
  <c r="A84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83" i="2"/>
  <c r="B83" i="2"/>
  <c r="D83" i="2"/>
  <c r="A83" i="2"/>
  <c r="H82" i="2"/>
  <c r="B82" i="2"/>
  <c r="D82" i="2"/>
  <c r="A82" i="2"/>
  <c r="H14" i="2"/>
  <c r="B14" i="2"/>
  <c r="D14" i="2"/>
  <c r="A14" i="2"/>
  <c r="H13" i="2"/>
  <c r="B13" i="2"/>
  <c r="D13" i="2"/>
  <c r="A13" i="2"/>
  <c r="H81" i="2"/>
  <c r="B81" i="2"/>
  <c r="D81" i="2"/>
  <c r="A81" i="2"/>
  <c r="H12" i="2"/>
  <c r="D12" i="2"/>
  <c r="B12" i="2"/>
  <c r="A12" i="2"/>
  <c r="H11" i="2"/>
  <c r="B11" i="2"/>
  <c r="D11" i="2"/>
  <c r="A11" i="2"/>
  <c r="H80" i="2"/>
  <c r="D80" i="2"/>
  <c r="B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Q100" i="1"/>
  <c r="Q97" i="1"/>
  <c r="Q95" i="1"/>
  <c r="J95" i="1"/>
  <c r="Q99" i="1"/>
  <c r="U88" i="1"/>
  <c r="Q84" i="1"/>
  <c r="Q96" i="1"/>
  <c r="Q93" i="1"/>
  <c r="Q94" i="1"/>
  <c r="F16" i="1"/>
  <c r="F17" i="1" s="1"/>
  <c r="C17" i="1"/>
  <c r="K86" i="1"/>
  <c r="Q86" i="1"/>
  <c r="Q87" i="1"/>
  <c r="Q90" i="1"/>
  <c r="Q88" i="1"/>
  <c r="Q85" i="1"/>
  <c r="Q27" i="1"/>
  <c r="Q77" i="1"/>
  <c r="Q79" i="1"/>
  <c r="Q82" i="1"/>
  <c r="Q80" i="1"/>
  <c r="Q81" i="1"/>
  <c r="Q78" i="1"/>
  <c r="E90" i="2"/>
  <c r="E23" i="2"/>
  <c r="E79" i="2"/>
  <c r="E16" i="2"/>
  <c r="E13" i="2"/>
  <c r="E101" i="1"/>
  <c r="F101" i="1"/>
  <c r="G101" i="1"/>
  <c r="H101" i="1"/>
  <c r="E92" i="1"/>
  <c r="F92" i="1"/>
  <c r="G92" i="1"/>
  <c r="K92" i="1"/>
  <c r="G85" i="1"/>
  <c r="J85" i="1"/>
  <c r="E83" i="1"/>
  <c r="F83" i="1"/>
  <c r="G83" i="1"/>
  <c r="H83" i="1"/>
  <c r="E97" i="1"/>
  <c r="F97" i="1"/>
  <c r="G97" i="1"/>
  <c r="J97" i="1"/>
  <c r="E89" i="1"/>
  <c r="F89" i="1"/>
  <c r="G89" i="1"/>
  <c r="K89" i="1"/>
  <c r="E80" i="1"/>
  <c r="F80" i="1"/>
  <c r="G80" i="1"/>
  <c r="J80" i="1"/>
  <c r="E94" i="1"/>
  <c r="F94" i="1"/>
  <c r="G94" i="1"/>
  <c r="J94" i="1"/>
  <c r="E85" i="1"/>
  <c r="F85" i="1"/>
  <c r="G102" i="1"/>
  <c r="K102" i="1"/>
  <c r="E99" i="1"/>
  <c r="F99" i="1"/>
  <c r="U99" i="1"/>
  <c r="E100" i="1"/>
  <c r="F100" i="1"/>
  <c r="G100" i="1"/>
  <c r="J100" i="1"/>
  <c r="G93" i="1"/>
  <c r="J93" i="1"/>
  <c r="E91" i="1"/>
  <c r="F91" i="1"/>
  <c r="G91" i="1"/>
  <c r="K91" i="1"/>
  <c r="G84" i="1"/>
  <c r="I84" i="1"/>
  <c r="E82" i="1"/>
  <c r="F82" i="1"/>
  <c r="G82" i="1"/>
  <c r="K82" i="1"/>
  <c r="E103" i="1"/>
  <c r="F103" i="1"/>
  <c r="G103" i="1"/>
  <c r="I103" i="1"/>
  <c r="E71" i="1"/>
  <c r="E73" i="1"/>
  <c r="F73" i="1"/>
  <c r="G73" i="1"/>
  <c r="H73" i="1"/>
  <c r="E75" i="1"/>
  <c r="F75" i="1"/>
  <c r="G75" i="1"/>
  <c r="J75" i="1"/>
  <c r="G98" i="1"/>
  <c r="I98" i="1"/>
  <c r="E96" i="1"/>
  <c r="F96" i="1"/>
  <c r="G96" i="1"/>
  <c r="J96" i="1"/>
  <c r="G90" i="1"/>
  <c r="J90" i="1"/>
  <c r="E87" i="1"/>
  <c r="G81" i="1"/>
  <c r="E79" i="1"/>
  <c r="F79" i="1"/>
  <c r="G79" i="1"/>
  <c r="K79" i="1"/>
  <c r="E24" i="2"/>
  <c r="F71" i="1"/>
  <c r="G71" i="1"/>
  <c r="H71" i="1"/>
  <c r="E75" i="2"/>
  <c r="E85" i="2"/>
  <c r="F87" i="1"/>
  <c r="G87" i="1"/>
  <c r="E18" i="2"/>
  <c r="E77" i="2"/>
  <c r="E25" i="2"/>
  <c r="E22" i="2"/>
  <c r="E83" i="2"/>
  <c r="E84" i="2"/>
  <c r="E86" i="2"/>
  <c r="J87" i="1"/>
  <c r="C12" i="1"/>
  <c r="C11" i="1"/>
  <c r="O66" i="1" l="1"/>
  <c r="O34" i="1"/>
  <c r="O65" i="1"/>
  <c r="O33" i="1"/>
  <c r="O64" i="1"/>
  <c r="O32" i="1"/>
  <c r="O63" i="1"/>
  <c r="O31" i="1"/>
  <c r="O78" i="1"/>
  <c r="C15" i="1"/>
  <c r="O92" i="1"/>
  <c r="O88" i="1"/>
  <c r="O37" i="1"/>
  <c r="O86" i="1"/>
  <c r="O62" i="1"/>
  <c r="O30" i="1"/>
  <c r="O61" i="1"/>
  <c r="O29" i="1"/>
  <c r="O60" i="1"/>
  <c r="O28" i="1"/>
  <c r="O59" i="1"/>
  <c r="O26" i="1"/>
  <c r="O87" i="1"/>
  <c r="O99" i="1"/>
  <c r="O22" i="1"/>
  <c r="O93" i="1"/>
  <c r="O100" i="1"/>
  <c r="O101" i="1"/>
  <c r="O49" i="1"/>
  <c r="O91" i="1"/>
  <c r="O96" i="1"/>
  <c r="O69" i="1"/>
  <c r="O67" i="1"/>
  <c r="O79" i="1"/>
  <c r="O58" i="1"/>
  <c r="O25" i="1"/>
  <c r="O57" i="1"/>
  <c r="O24" i="1"/>
  <c r="O56" i="1"/>
  <c r="O23" i="1"/>
  <c r="O55" i="1"/>
  <c r="O27" i="1"/>
  <c r="O51" i="1"/>
  <c r="O81" i="1"/>
  <c r="O50" i="1"/>
  <c r="O48" i="1"/>
  <c r="O94" i="1"/>
  <c r="O70" i="1"/>
  <c r="O36" i="1"/>
  <c r="O77" i="1"/>
  <c r="O54" i="1"/>
  <c r="O21" i="1"/>
  <c r="O53" i="1"/>
  <c r="O102" i="1"/>
  <c r="O52" i="1"/>
  <c r="O103" i="1"/>
  <c r="O95" i="1"/>
  <c r="O98" i="1"/>
  <c r="O47" i="1"/>
  <c r="O38" i="1"/>
  <c r="O35" i="1"/>
  <c r="O89" i="1"/>
  <c r="O46" i="1"/>
  <c r="O83" i="1"/>
  <c r="O45" i="1"/>
  <c r="O76" i="1"/>
  <c r="O44" i="1"/>
  <c r="O75" i="1"/>
  <c r="O43" i="1"/>
  <c r="O85" i="1"/>
  <c r="O80" i="1"/>
  <c r="O84" i="1"/>
  <c r="O74" i="1"/>
  <c r="O42" i="1"/>
  <c r="O73" i="1"/>
  <c r="O41" i="1"/>
  <c r="O72" i="1"/>
  <c r="O40" i="1"/>
  <c r="O71" i="1"/>
  <c r="O39" i="1"/>
  <c r="O82" i="1"/>
  <c r="O90" i="1"/>
  <c r="O97" i="1"/>
  <c r="O6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<sst xmlns="http://schemas.openxmlformats.org/spreadsheetml/2006/main" count="867" uniqueCount="369">
  <si>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</si>
  <si>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</si>
  <si>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</si>
  <si>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</si>
  <si>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</si>
  <si>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</si>
  <si>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</si>
  <si>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</si>
  <si>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</si>
  <si>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</si>
  <si>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</si>
  <si>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</si>
  <si>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</si>
  <si>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</si>
  <si>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</si>
  <si>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</si>
  <si>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</si>
  <si>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</si>
  <si>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</si>
  <si>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</si>
  <si>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</si>
  <si>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</si>
  <si>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</si>
  <si>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</si>
  <si>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</si>
  <si>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</si>
  <si>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GCVS 4</t>
  </si>
  <si>
    <t>Rafert, J.B., 1982, PASP 94, 485</t>
  </si>
  <si>
    <t>2000-08-30, Ephemeris likely OK</t>
  </si>
  <si>
    <t>Rafert 1982</t>
  </si>
  <si>
    <t>BBSAG Bull.39</t>
  </si>
  <si>
    <t>IBVS 5040</t>
  </si>
  <si>
    <t>IBVS 5493</t>
  </si>
  <si>
    <t>IBVS 5296</t>
  </si>
  <si>
    <t># of data points:</t>
  </si>
  <si>
    <t>IBVS 5731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</si>
  <si>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</si>
  <si>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</si>
  <si>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</si>
  <si>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</si>
  <si>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</si>
  <si>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</si>
  <si>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</si>
  <si>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</t>
  </si>
  <si>
    <t>IBVS 5761</t>
  </si>
  <si>
    <t>EA/DM</t>
  </si>
  <si>
    <t>Add cycle</t>
  </si>
  <si>
    <t>Old Cycle</t>
  </si>
  <si>
    <t>Start of linear fit &gt;&gt;&gt;&gt;&gt;&gt;&gt;&gt;&gt;&gt;&gt;&gt;&gt;&gt;&gt;&gt;&gt;&gt;&gt;&gt;&gt;</t>
  </si>
  <si>
    <t>OEJV 0137</t>
  </si>
  <si>
    <t>IBVS 6010</t>
  </si>
  <si>
    <t>OEJV 0001</t>
  </si>
  <si>
    <t>vis</t>
  </si>
  <si>
    <t>V0463 Cyg / GSC 02656-03251</t>
  </si>
  <si>
    <t>IBVS 6070</t>
  </si>
  <si>
    <t>BAD?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</si>
  <si>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</si>
  <si>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</si>
  <si>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</si>
  <si>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</si>
  <si>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</si>
  <si>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</si>
  <si>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</si>
  <si>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</si>
  <si>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</si>
  <si>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</si>
  <si>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</si>
  <si>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</si>
  <si>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</si>
  <si>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</si>
  <si>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2414882.380 </t>
  </si>
  <si>
    <t> 15.08.1899 21:07 </t>
  </si>
  <si>
    <t> -0.066 </t>
  </si>
  <si>
    <t>P </t>
  </si>
  <si>
    <t> P.G.Kulikovsky </t>
  </si>
  <si>
    <t> PZ 6.101 </t>
  </si>
  <si>
    <t>2414933.270 </t>
  </si>
  <si>
    <t> 05.10.1899 18:28 </t>
  </si>
  <si>
    <t> 0.003 </t>
  </si>
  <si>
    <t>2428081.22 </t>
  </si>
  <si>
    <t> 05.10.1935 17:16 </t>
  </si>
  <si>
    <t> 0.01 </t>
  </si>
  <si>
    <t> P.Parenago </t>
  </si>
  <si>
    <t> PZ 5.212 </t>
  </si>
  <si>
    <t>2428661.417 </t>
  </si>
  <si>
    <t> 07.05.1937 22:00 </t>
  </si>
  <si>
    <t> -0.005 </t>
  </si>
  <si>
    <t> P.Borisov </t>
  </si>
  <si>
    <t> TKZ 33.121 </t>
  </si>
  <si>
    <t>2428746.130 </t>
  </si>
  <si>
    <t> 31.07.1937 15:07 </t>
  </si>
  <si>
    <t> 0.006 </t>
  </si>
  <si>
    <t>2428750.33 </t>
  </si>
  <si>
    <t> 04.08.1937 19:55 </t>
  </si>
  <si>
    <t> -0.03 </t>
  </si>
  <si>
    <t>2428750.360 </t>
  </si>
  <si>
    <t> 04.08.1937 20:38 </t>
  </si>
  <si>
    <t> 0.001 </t>
  </si>
  <si>
    <t>2428752.440 </t>
  </si>
  <si>
    <t> 06.08.1937 22:33 </t>
  </si>
  <si>
    <t> -0.037 </t>
  </si>
  <si>
    <t>2428805.406 </t>
  </si>
  <si>
    <t> 28.09.1937 21:44 </t>
  </si>
  <si>
    <t> -0.010 </t>
  </si>
  <si>
    <t>2428805.426 </t>
  </si>
  <si>
    <t> 28.09.1937 22:13 </t>
  </si>
  <si>
    <t> 0.010 </t>
  </si>
  <si>
    <t>2429127.330 </t>
  </si>
  <si>
    <t> 16.08.1938 19:55 </t>
  </si>
  <si>
    <t> 0.045 </t>
  </si>
  <si>
    <t>2429165.430 </t>
  </si>
  <si>
    <t> 23.09.1938 22:19 </t>
  </si>
  <si>
    <t> 0.029 </t>
  </si>
  <si>
    <t>2429468.200 </t>
  </si>
  <si>
    <t> 23.07.1939 16:48 </t>
  </si>
  <si>
    <t> -0.013 </t>
  </si>
  <si>
    <t>2429726.520 </t>
  </si>
  <si>
    <t> 07.04.1940 00:28 </t>
  </si>
  <si>
    <t> -0.035 </t>
  </si>
  <si>
    <t>2432477.260 </t>
  </si>
  <si>
    <t> 18.10.1947 18:14 </t>
  </si>
  <si>
    <t> -0.008 </t>
  </si>
  <si>
    <t> A.A.Wachmann </t>
  </si>
  <si>
    <t> AHSB 6.1.77 </t>
  </si>
  <si>
    <t>2432794.896 </t>
  </si>
  <si>
    <t> 31.08.1948 09:30 </t>
  </si>
  <si>
    <t> -0.007 </t>
  </si>
  <si>
    <t> B.S.Whitney </t>
  </si>
  <si>
    <t> AJ 59.455 </t>
  </si>
  <si>
    <t>2432822.428 </t>
  </si>
  <si>
    <t> 27.09.1948 22:16 </t>
  </si>
  <si>
    <t>2432907.120 </t>
  </si>
  <si>
    <t> 21.12.1948 14:52 </t>
  </si>
  <si>
    <t>2433061.728 </t>
  </si>
  <si>
    <t> 25.05.1949 05:28 </t>
  </si>
  <si>
    <t> 0.013 </t>
  </si>
  <si>
    <t>2433205.713 </t>
  </si>
  <si>
    <t> 16.10.1949 05:06 </t>
  </si>
  <si>
    <t>2433273.443 </t>
  </si>
  <si>
    <t> 22.12.1949 22:37 </t>
  </si>
  <si>
    <t> -0.029 </t>
  </si>
  <si>
    <t>2433476.743 </t>
  </si>
  <si>
    <t> 14.07.1950 05:49 </t>
  </si>
  <si>
    <t> -0.015 </t>
  </si>
  <si>
    <t>2433506.415 </t>
  </si>
  <si>
    <t> 12.08.1950 21:57 </t>
  </si>
  <si>
    <t> 0.012 </t>
  </si>
  <si>
    <t>2433540.326 </t>
  </si>
  <si>
    <t> 15.09.1950 19:49 </t>
  </si>
  <si>
    <t> 0.042 </t>
  </si>
  <si>
    <t> R.I.Tschuprina </t>
  </si>
  <si>
    <t> PZ 11.226 </t>
  </si>
  <si>
    <t>2433542.402 </t>
  </si>
  <si>
    <t> 17.09.1950 21:38 </t>
  </si>
  <si>
    <t> 0.000 </t>
  </si>
  <si>
    <t>2433618.629 </t>
  </si>
  <si>
    <t> 03.12.1950 03:05 </t>
  </si>
  <si>
    <t>2433830.426 </t>
  </si>
  <si>
    <t> 02.07.1951 22:13 </t>
  </si>
  <si>
    <t> 0.036 </t>
  </si>
  <si>
    <t>2433836.739 </t>
  </si>
  <si>
    <t> 09.07.1951 05:44 </t>
  </si>
  <si>
    <t> -0.004 </t>
  </si>
  <si>
    <t>2433927.785 </t>
  </si>
  <si>
    <t> 08.10.1951 06:50 </t>
  </si>
  <si>
    <t>2434122.605 </t>
  </si>
  <si>
    <t> 20.04.1952 02:31 </t>
  </si>
  <si>
    <t> -0.009 </t>
  </si>
  <si>
    <t>2434128.931 </t>
  </si>
  <si>
    <t> 26.04.1952 10:20 </t>
  </si>
  <si>
    <t> -0.036 </t>
  </si>
  <si>
    <t>2434162.848 </t>
  </si>
  <si>
    <t> 30.05.1952 08:21 </t>
  </si>
  <si>
    <t>2434215.773 </t>
  </si>
  <si>
    <t> 22.07.1952 06:33 </t>
  </si>
  <si>
    <t> -0.014 </t>
  </si>
  <si>
    <t>2434336.498 </t>
  </si>
  <si>
    <t> 19.11.1952 23:57 </t>
  </si>
  <si>
    <t>2434622.350 </t>
  </si>
  <si>
    <t> 01.09.1953 20:24 </t>
  </si>
  <si>
    <t>2434962.325 </t>
  </si>
  <si>
    <t> 07.08.1954 19:48 </t>
  </si>
  <si>
    <t> 0.098 </t>
  </si>
  <si>
    <t>2435020.465 </t>
  </si>
  <si>
    <t> 04.10.1954 23:09 </t>
  </si>
  <si>
    <t> 0.005 </t>
  </si>
  <si>
    <t>2435090.345 </t>
  </si>
  <si>
    <t> 13.12.1954 20:16 </t>
  </si>
  <si>
    <t>2435185.640 </t>
  </si>
  <si>
    <t> 19.03.1955 03:21 </t>
  </si>
  <si>
    <t>2435310.552 </t>
  </si>
  <si>
    <t> 22.07.1955 01:14 </t>
  </si>
  <si>
    <t>2435342.351 </t>
  </si>
  <si>
    <t> 22.08.1955 20:25 </t>
  </si>
  <si>
    <t> 0.021 </t>
  </si>
  <si>
    <t>2435395.306 </t>
  </si>
  <si>
    <t> 14.10.1955 19:20 </t>
  </si>
  <si>
    <t> 0.037 </t>
  </si>
  <si>
    <t>2435399.498 </t>
  </si>
  <si>
    <t> 18.10.1955 23:57 </t>
  </si>
  <si>
    <t> -0.006 </t>
  </si>
  <si>
    <t>2435429.135 </t>
  </si>
  <si>
    <t> 17.11.1955 15:14 </t>
  </si>
  <si>
    <t>2436818.267 </t>
  </si>
  <si>
    <t> 06.09.1959 18:24 </t>
  </si>
  <si>
    <t>2436820.410 </t>
  </si>
  <si>
    <t> 08.09.1959 21:50 </t>
  </si>
  <si>
    <t> 0.022 </t>
  </si>
  <si>
    <t>2436822.498 </t>
  </si>
  <si>
    <t> 10.09.1959 23:57 </t>
  </si>
  <si>
    <t>2437146.477 </t>
  </si>
  <si>
    <t> 30.07.1960 23:26 </t>
  </si>
  <si>
    <t> H.Busch </t>
  </si>
  <si>
    <t> HABZ 28 </t>
  </si>
  <si>
    <t>2437199.445 </t>
  </si>
  <si>
    <t> 21.09.1960 22:40 </t>
  </si>
  <si>
    <t>2437557.293 </t>
  </si>
  <si>
    <t> 14.09.1961 19:01 </t>
  </si>
  <si>
    <t> PZ 15.520 </t>
  </si>
  <si>
    <t>2437559.437 </t>
  </si>
  <si>
    <t> 16.09.1961 22:29 </t>
  </si>
  <si>
    <t> 0.020 </t>
  </si>
  <si>
    <t>2438262.443 </t>
  </si>
  <si>
    <t> 20.08.1963 22:37 </t>
  </si>
  <si>
    <t>2438315.366 </t>
  </si>
  <si>
    <t> 12.10.1963 20:47 </t>
  </si>
  <si>
    <t> -0.021 </t>
  </si>
  <si>
    <t>2439376.2848 </t>
  </si>
  <si>
    <t> 07.09.1966 18:50 </t>
  </si>
  <si>
    <t> -0.0004 </t>
  </si>
  <si>
    <t>E </t>
  </si>
  <si>
    <t>?</t>
  </si>
  <si>
    <t> M.Vetesnik </t>
  </si>
  <si>
    <t> BAC 19.123 </t>
  </si>
  <si>
    <t>2439685.4466 </t>
  </si>
  <si>
    <t> 13.07.1967 22:43 </t>
  </si>
  <si>
    <t> -0.0027 </t>
  </si>
  <si>
    <t>2443791.411 </t>
  </si>
  <si>
    <t> 09.10.1978 21:51 </t>
  </si>
  <si>
    <t> 0.009 </t>
  </si>
  <si>
    <t>V </t>
  </si>
  <si>
    <t> R.Diethelm </t>
  </si>
  <si>
    <t> BBS 39 </t>
  </si>
  <si>
    <t>2444081.508 </t>
  </si>
  <si>
    <t> 27.07.1979 00:11 </t>
  </si>
  <si>
    <t> BBS 44 </t>
  </si>
  <si>
    <t>2451812.7731 </t>
  </si>
  <si>
    <t> 25.09.2000 06:33 </t>
  </si>
  <si>
    <t> 0.0462 </t>
  </si>
  <si>
    <t> R.H.Nelson </t>
  </si>
  <si>
    <t>IBVS 5040 </t>
  </si>
  <si>
    <t>2452113.4616 </t>
  </si>
  <si>
    <t> 22.07.2001 23:04 </t>
  </si>
  <si>
    <t> 0.0409 </t>
  </si>
  <si>
    <t>o</t>
  </si>
  <si>
    <t> H.Jungbluth </t>
  </si>
  <si>
    <t>BAVM 152 </t>
  </si>
  <si>
    <t>2452219.3288 </t>
  </si>
  <si>
    <t> 05.11.2001 19:53 </t>
  </si>
  <si>
    <t> 0.0300 </t>
  </si>
  <si>
    <t>-I</t>
  </si>
  <si>
    <t> G.Maintz </t>
  </si>
  <si>
    <t>2452839.7805 </t>
  </si>
  <si>
    <t> 19.07.2003 06:43 </t>
  </si>
  <si>
    <t>4136</t>
  </si>
  <si>
    <t> 0.0361 </t>
  </si>
  <si>
    <t> R.Nelson </t>
  </si>
  <si>
    <t>IBVS 5493 </t>
  </si>
  <si>
    <t>2452852.487 </t>
  </si>
  <si>
    <t> 31.07.2003 23:41 </t>
  </si>
  <si>
    <t>4142</t>
  </si>
  <si>
    <t> R.Meyer </t>
  </si>
  <si>
    <t>BAVM 171 </t>
  </si>
  <si>
    <t>2453267.539 </t>
  </si>
  <si>
    <t> 19.09.2004 00:56 </t>
  </si>
  <si>
    <t>4338</t>
  </si>
  <si>
    <t> 0.047 </t>
  </si>
  <si>
    <t>BAVM 174 </t>
  </si>
  <si>
    <t>2453519.5221 </t>
  </si>
  <si>
    <t> 29.05.2005 00:31 </t>
  </si>
  <si>
    <t>4457</t>
  </si>
  <si>
    <t> 0.0403 </t>
  </si>
  <si>
    <t>C </t>
  </si>
  <si>
    <t> F.Agerer </t>
  </si>
  <si>
    <t>BAVM 178 </t>
  </si>
  <si>
    <t>2453577.7470 </t>
  </si>
  <si>
    <t> 26.07.2005 05:55 </t>
  </si>
  <si>
    <t>4484.5</t>
  </si>
  <si>
    <t> 0.0322 </t>
  </si>
  <si>
    <t> Smith &amp; Caton </t>
  </si>
  <si>
    <t>IBVS 5745 </t>
  </si>
  <si>
    <t>2453578.8125 </t>
  </si>
  <si>
    <t> 27.07.2005 07:30 </t>
  </si>
  <si>
    <t>4485</t>
  </si>
  <si>
    <t> 0.0389 </t>
  </si>
  <si>
    <t>2453660.307 </t>
  </si>
  <si>
    <t> 16.10.2005 19:22 </t>
  </si>
  <si>
    <t>4523.5</t>
  </si>
  <si>
    <t> 0.007 </t>
  </si>
  <si>
    <t> P.Frank </t>
  </si>
  <si>
    <t>2453896.4503 </t>
  </si>
  <si>
    <t> 09.06.2006 22:48 </t>
  </si>
  <si>
    <t>4635</t>
  </si>
  <si>
    <t> 0.0424 </t>
  </si>
  <si>
    <t> G.Monninger </t>
  </si>
  <si>
    <t>BAVM 203 </t>
  </si>
  <si>
    <t>2453934.5700 </t>
  </si>
  <si>
    <t> 18.07.2006 01:40 </t>
  </si>
  <si>
    <t>4653</t>
  </si>
  <si>
    <t> 0.0460 </t>
  </si>
  <si>
    <t>BAVM 183 </t>
  </si>
  <si>
    <t>2455048.4178 </t>
  </si>
  <si>
    <t> 04.08.2009 22:01 </t>
  </si>
  <si>
    <t>5179</t>
  </si>
  <si>
    <t> 0.0562 </t>
  </si>
  <si>
    <t> U.Schmidt </t>
  </si>
  <si>
    <t>BAVM 212 </t>
  </si>
  <si>
    <t>2455084.4140 </t>
  </si>
  <si>
    <t> 09.09.2009 21:56 </t>
  </si>
  <si>
    <t>5196</t>
  </si>
  <si>
    <t> 0.0538 </t>
  </si>
  <si>
    <t>2455374.5211 </t>
  </si>
  <si>
    <t> 27.06.2010 00:30 </t>
  </si>
  <si>
    <t>5333</t>
  </si>
  <si>
    <t> 0.0550 </t>
  </si>
  <si>
    <t> S.Poddaný </t>
  </si>
  <si>
    <t>OEJV 0137 </t>
  </si>
  <si>
    <t>2455374.5227 </t>
  </si>
  <si>
    <t> 27.06.2010 00:32 </t>
  </si>
  <si>
    <t> 0.0566 </t>
  </si>
  <si>
    <t>R</t>
  </si>
  <si>
    <t>2455429.5777 </t>
  </si>
  <si>
    <t> 21.08.2010 01:51 </t>
  </si>
  <si>
    <t>5359</t>
  </si>
  <si>
    <t> 0.0549 </t>
  </si>
  <si>
    <t>BAVM 215 </t>
  </si>
  <si>
    <t>2455480.3911 </t>
  </si>
  <si>
    <t> 10.10.2010 21:23 </t>
  </si>
  <si>
    <t> 0.0469 </t>
  </si>
  <si>
    <t> L.Pagel </t>
  </si>
  <si>
    <t>BAVM 220 </t>
  </si>
  <si>
    <t>2455481.4499 </t>
  </si>
  <si>
    <t> 11.10.2010 22:47 </t>
  </si>
  <si>
    <t>2455857.3263 </t>
  </si>
  <si>
    <t> 22.10.2011 19:49 </t>
  </si>
  <si>
    <t> 0.0560 </t>
  </si>
  <si>
    <t>-U;-I</t>
  </si>
  <si>
    <t> M.&amp; K.Rätz </t>
  </si>
  <si>
    <t>BAVM 225 </t>
  </si>
  <si>
    <t>2456167.585 </t>
  </si>
  <si>
    <t> 28.08.2012 02:02 </t>
  </si>
  <si>
    <t>5707.5</t>
  </si>
  <si>
    <t> 0.092 </t>
  </si>
  <si>
    <t>BAVM 231 </t>
  </si>
  <si>
    <t>2456886.4624 </t>
  </si>
  <si>
    <t> 16.08.2014 23:05 </t>
  </si>
  <si>
    <t>6047</t>
  </si>
  <si>
    <t> 0.0570 </t>
  </si>
  <si>
    <t>BAVM 238 </t>
  </si>
  <si>
    <t>2457210.453 </t>
  </si>
  <si>
    <t> 06.07.2015 22:52 </t>
  </si>
  <si>
    <t> 0.061 </t>
  </si>
  <si>
    <t>BAVM 241 (=IBVS 6157) </t>
  </si>
  <si>
    <t>s5</t>
  </si>
  <si>
    <t>s6</t>
  </si>
  <si>
    <t>s7</t>
  </si>
  <si>
    <t>IBVS 6157</t>
  </si>
  <si>
    <t>15/08/1899</t>
  </si>
  <si>
    <t>05/10/1899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</si>
</sst>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30" fillId="0" borderId="0"/>
    <xf numFmtId="0" fontId="3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9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3" fillId="0" borderId="0" xfId="0" applyFont="1" applyAlignment="1"/>
    <xf numFmtId="0" fontId="0" fillId="0" borderId="9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14" fillId="0" borderId="0" xfId="0" applyFont="1" applyAlignment="1"/>
    <xf numFmtId="0" fontId="5" fillId="0" borderId="10" xfId="0" applyFont="1" applyBorder="1" applyAlignment="1">
      <alignment horizontal="left" vertical="center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7" fillId="0" borderId="8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173" fontId="23" fillId="0" borderId="0" xfId="0" applyNumberFormat="1" applyFont="1" applyAlignment="1">
      <alignment horizontal="left"/>
    </xf>
    <xf numFmtId="172" fontId="23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0" fillId="0" borderId="0" xfId="0" applyNumberFormat="1" applyAlignment="1"/>
    <xf numFmtId="0" fontId="0" fillId="0" borderId="18" xfId="0" applyNumberFormat="1" applyBorder="1" applyAlignment="1"/>
    <xf numFmtId="0" fontId="13" fillId="0" borderId="0" xfId="0" applyNumberFormat="1" applyFont="1">
      <alignment vertical="top"/>
    </xf>
    <xf numFmtId="0" fontId="0" fillId="0" borderId="5" xfId="0" applyNumberFormat="1" applyBorder="1">
      <alignment vertical="top"/>
    </xf>
    <xf numFmtId="0" fontId="9" fillId="0" borderId="0" xfId="0" applyNumberFormat="1" applyFont="1" applyAlignment="1">
      <alignment horizontal="left" vertical="top"/>
    </xf>
    <xf numFmtId="0" fontId="0" fillId="0" borderId="8" xfId="0" applyNumberFormat="1" applyBorder="1" applyAlignment="1">
      <alignment horizontal="center"/>
    </xf>
    <xf numFmtId="0" fontId="9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18" xfId="0" applyNumberFormat="1" applyBorder="1">
      <alignment vertical="top"/>
    </xf>
    <xf numFmtId="0" fontId="0" fillId="0" borderId="0" xfId="0" applyNumberFormat="1" applyAlignment="1">
      <alignment horizontal="left" vertical="top"/>
    </xf>
    <xf numFmtId="0" fontId="20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wrapText="1"/>
    </xf>
    <xf numFmtId="0" fontId="23" fillId="0" borderId="19" xfId="0" applyFont="1" applyBorder="1" applyAlignment="1">
      <alignment horizontal="left"/>
    </xf>
    <xf numFmtId="0" fontId="23" fillId="0" borderId="19" xfId="0" applyFont="1" applyBorder="1" applyAlignment="1">
      <alignment horizontal="center"/>
    </xf>
    <xf numFmtId="0" fontId="23" fillId="0" borderId="19" xfId="0" applyNumberFormat="1" applyFont="1" applyBorder="1" applyAlignment="1">
      <alignment horizontal="left"/>
    </xf>
    <xf numFmtId="173" fontId="23" fillId="0" borderId="19" xfId="0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0" fillId="0" borderId="0" xfId="43" applyFont="1" applyAlignment="1">
      <alignment horizontal="left"/>
    </xf>
    <xf numFmtId="0" fontId="40" fillId="0" borderId="0" xfId="43" applyFont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vertical="top"/>
    </xf>
    <xf numFmtId="0" fontId="40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V0463 Cyg - O-C Diagr.</a:t>
            </a:r>
          </a:p>
        </c:rich>
      </c:tx>
      <c:layout>
        <c:manualLayout>
          <c:xMode val="edge"/>
          <c:yMode val="edge"/>
          <c:x val="0.41648374722390469"/>
          <c:y val="2.7522935779816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945621000183"/>
          <c:y val="0.14678942920199375"/>
          <c:w val="0.8593411204397324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-6.558200000472425E-2</c:v>
                </c:pt>
                <c:pt idx="1">
                  <c:v>2.9299999987415504E-3</c:v>
                </c:pt>
                <c:pt idx="2">
                  <c:v>1.0472000001755077E-2</c:v>
                </c:pt>
                <c:pt idx="3">
                  <c:v>-4.5160000008763745E-3</c:v>
                </c:pt>
                <c:pt idx="4">
                  <c:v>6.0039999989385251E-3</c:v>
                </c:pt>
                <c:pt idx="5">
                  <c:v>-2.9119999999238644E-2</c:v>
                </c:pt>
                <c:pt idx="7">
                  <c:v>8.7999999959720299E-4</c:v>
                </c:pt>
                <c:pt idx="8">
                  <c:v>-3.6682000001746928E-2</c:v>
                </c:pt>
                <c:pt idx="9">
                  <c:v>-9.7320000022591557E-3</c:v>
                </c:pt>
                <c:pt idx="10">
                  <c:v>1.0267999998177402E-2</c:v>
                </c:pt>
                <c:pt idx="11">
                  <c:v>4.4844000000011874E-2</c:v>
                </c:pt>
                <c:pt idx="12">
                  <c:v>2.8727999997499865E-2</c:v>
                </c:pt>
                <c:pt idx="13">
                  <c:v>-1.2638000003789784E-2</c:v>
                </c:pt>
                <c:pt idx="14">
                  <c:v>-3.5202000002755085E-2</c:v>
                </c:pt>
                <c:pt idx="15">
                  <c:v>-8.2400000028428622E-3</c:v>
                </c:pt>
                <c:pt idx="16">
                  <c:v>-6.5400000021327287E-3</c:v>
                </c:pt>
                <c:pt idx="17">
                  <c:v>-2.8460000030463561E-3</c:v>
                </c:pt>
                <c:pt idx="18">
                  <c:v>-1.3326000000233762E-2</c:v>
                </c:pt>
                <c:pt idx="19">
                  <c:v>1.2648000003537163E-2</c:v>
                </c:pt>
                <c:pt idx="20">
                  <c:v>3.4319999977014959E-3</c:v>
                </c:pt>
                <c:pt idx="21">
                  <c:v>-2.855200000340119E-2</c:v>
                </c:pt>
                <c:pt idx="22">
                  <c:v>-1.4503999998851214E-2</c:v>
                </c:pt>
                <c:pt idx="23">
                  <c:v>1.16280000002007E-2</c:v>
                </c:pt>
                <c:pt idx="24">
                  <c:v>4.1636000001744833E-2</c:v>
                </c:pt>
                <c:pt idx="25">
                  <c:v>7.3999995947815478E-5</c:v>
                </c:pt>
                <c:pt idx="26">
                  <c:v>-5.1579999999376014E-3</c:v>
                </c:pt>
                <c:pt idx="27">
                  <c:v>3.5641999995277729E-2</c:v>
                </c:pt>
                <c:pt idx="28">
                  <c:v>-4.0440000011585653E-3</c:v>
                </c:pt>
                <c:pt idx="29">
                  <c:v>-1.3209999997343402E-2</c:v>
                </c:pt>
                <c:pt idx="30">
                  <c:v>-8.913999998185318E-3</c:v>
                </c:pt>
                <c:pt idx="31">
                  <c:v>-3.56000000028871E-2</c:v>
                </c:pt>
                <c:pt idx="32">
                  <c:v>4.0799999260343611E-4</c:v>
                </c:pt>
                <c:pt idx="33">
                  <c:v>-1.3642000005347654E-2</c:v>
                </c:pt>
                <c:pt idx="34">
                  <c:v>1.0323999995307531E-2</c:v>
                </c:pt>
                <c:pt idx="35">
                  <c:v>-8.5460000045713969E-3</c:v>
                </c:pt>
                <c:pt idx="36">
                  <c:v>9.7752999994554557E-2</c:v>
                </c:pt>
                <c:pt idx="37">
                  <c:v>4.7979999944800511E-3</c:v>
                </c:pt>
                <c:pt idx="38">
                  <c:v>5.252000002656132E-3</c:v>
                </c:pt>
                <c:pt idx="39">
                  <c:v>9.961999996448867E-3</c:v>
                </c:pt>
                <c:pt idx="40">
                  <c:v>-1.4195999996445607E-2</c:v>
                </c:pt>
                <c:pt idx="41">
                  <c:v>2.137399999628542E-2</c:v>
                </c:pt>
                <c:pt idx="42">
                  <c:v>3.7323999997170176E-2</c:v>
                </c:pt>
                <c:pt idx="43">
                  <c:v>-5.8000000062747858E-3</c:v>
                </c:pt>
                <c:pt idx="44">
                  <c:v>-1.4667999996163417E-2</c:v>
                </c:pt>
                <c:pt idx="45">
                  <c:v>-3.3400000029359944E-3</c:v>
                </c:pt>
                <c:pt idx="46">
                  <c:v>2.2098000001278706E-2</c:v>
                </c:pt>
                <c:pt idx="47">
                  <c:v>-7.4640000020735897E-3</c:v>
                </c:pt>
                <c:pt idx="48">
                  <c:v>-1.5450000006239861E-2</c:v>
                </c:pt>
                <c:pt idx="49">
                  <c:v>1.3500000000931323E-2</c:v>
                </c:pt>
                <c:pt idx="50">
                  <c:v>-6.4780000029713847E-3</c:v>
                </c:pt>
                <c:pt idx="51">
                  <c:v>1.9959999997809064E-2</c:v>
                </c:pt>
                <c:pt idx="52">
                  <c:v>-4.6240000010584481E-3</c:v>
                </c:pt>
                <c:pt idx="53">
                  <c:v>-2.0673999999416992E-2</c:v>
                </c:pt>
                <c:pt idx="57">
                  <c:v>0</c:v>
                </c:pt>
                <c:pt idx="62">
                  <c:v>3.7195999997493345E-2</c:v>
                </c:pt>
                <c:pt idx="80">
                  <c:v>6.0600000004342292E-2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1-4E3E-A6D4-A0D5903847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  <c:pt idx="69">
                    <c:v>1.2999999999999999E-3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2.0000000000000001E-4</c:v>
                  </c:pt>
                  <c:pt idx="74">
                    <c:v>2.3E-3</c:v>
                  </c:pt>
                  <c:pt idx="75">
                    <c:v>3.5000000000000001E-3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1E-3</c:v>
                  </c:pt>
                  <c:pt idx="80">
                    <c:v>1.9E-2</c:v>
                  </c:pt>
                  <c:pt idx="81">
                    <c:v>1E-4</c:v>
                  </c:pt>
                  <c:pt idx="82">
                    <c:v>2.2000000000000001E-3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  <c:pt idx="69">
                    <c:v>1.2999999999999999E-3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2.0000000000000001E-4</c:v>
                  </c:pt>
                  <c:pt idx="74">
                    <c:v>2.3E-3</c:v>
                  </c:pt>
                  <c:pt idx="75">
                    <c:v>3.5000000000000001E-3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1E-3</c:v>
                  </c:pt>
                  <c:pt idx="80">
                    <c:v>1.9E-2</c:v>
                  </c:pt>
                  <c:pt idx="81">
                    <c:v>1E-4</c:v>
                  </c:pt>
                  <c:pt idx="8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63">
                  <c:v>4.7043999999004882E-2</c:v>
                </c:pt>
                <c:pt idx="77">
                  <c:v>5.601800000295043E-2</c:v>
                </c:pt>
                <c:pt idx="82">
                  <c:v>7.4915999997756444E-2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1-4E3E-A6D4-A0D5903847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54">
                  <c:v>-4.3600000208243728E-4</c:v>
                </c:pt>
                <c:pt idx="55">
                  <c:v>-2.68800000048941E-3</c:v>
                </c:pt>
                <c:pt idx="59">
                  <c:v>4.0933999996923376E-2</c:v>
                </c:pt>
                <c:pt idx="60">
                  <c:v>3.0034000003070105E-2</c:v>
                </c:pt>
                <c:pt idx="64">
                  <c:v>4.0265999996336177E-2</c:v>
                </c:pt>
                <c:pt idx="66">
                  <c:v>3.8929999995161779E-2</c:v>
                </c:pt>
                <c:pt idx="69">
                  <c:v>4.6013999999559019E-2</c:v>
                </c:pt>
                <c:pt idx="72">
                  <c:v>5.5004000001645181E-2</c:v>
                </c:pt>
                <c:pt idx="73">
                  <c:v>5.660399999760557E-2</c:v>
                </c:pt>
                <c:pt idx="74">
                  <c:v>5.4942000002483837E-2</c:v>
                </c:pt>
                <c:pt idx="75">
                  <c:v>4.6854000000166707E-2</c:v>
                </c:pt>
                <c:pt idx="76">
                  <c:v>4.6872999999322928E-2</c:v>
                </c:pt>
                <c:pt idx="79">
                  <c:v>5.6985999995958991E-2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1-4E3E-A6D4-A0D5903847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58">
                  <c:v>4.6227999999246094E-2</c:v>
                </c:pt>
                <c:pt idx="61">
                  <c:v>3.6076439479074907E-2</c:v>
                </c:pt>
                <c:pt idx="65">
                  <c:v>3.2210999997914769E-2</c:v>
                </c:pt>
                <c:pt idx="68">
                  <c:v>4.2429999994055834E-2</c:v>
                </c:pt>
                <c:pt idx="70">
                  <c:v>5.620199999975739E-2</c:v>
                </c:pt>
                <c:pt idx="71">
                  <c:v>5.3847999995923601E-2</c:v>
                </c:pt>
                <c:pt idx="81">
                  <c:v>6.8502000001899432E-2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1-4E3E-A6D4-A0D5903847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1-4E3E-A6D4-A0D5903847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1-4E3E-A6D4-A0D5903847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1-4E3E-A6D4-A0D5903847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-0.17025208507826647</c:v>
                </c:pt>
                <c:pt idx="1">
                  <c:v>-0.16997182966413421</c:v>
                </c:pt>
                <c:pt idx="2">
                  <c:v>-9.7467418566336075E-2</c:v>
                </c:pt>
                <c:pt idx="3">
                  <c:v>-9.4267835921659521E-2</c:v>
                </c:pt>
                <c:pt idx="4">
                  <c:v>-9.3800743564772429E-2</c:v>
                </c:pt>
                <c:pt idx="5">
                  <c:v>-9.3777388946928081E-2</c:v>
                </c:pt>
                <c:pt idx="6">
                  <c:v>-9.3777388946928081E-2</c:v>
                </c:pt>
                <c:pt idx="7">
                  <c:v>-9.3777388946928081E-2</c:v>
                </c:pt>
                <c:pt idx="8">
                  <c:v>-9.37657116380059E-2</c:v>
                </c:pt>
                <c:pt idx="9">
                  <c:v>-9.3473778914951469E-2</c:v>
                </c:pt>
                <c:pt idx="10">
                  <c:v>-9.3473778914951469E-2</c:v>
                </c:pt>
                <c:pt idx="11">
                  <c:v>-9.1698827958780538E-2</c:v>
                </c:pt>
                <c:pt idx="12">
                  <c:v>-9.1488636398181347E-2</c:v>
                </c:pt>
                <c:pt idx="13">
                  <c:v>-8.9818781222310018E-2</c:v>
                </c:pt>
                <c:pt idx="14">
                  <c:v>-8.8394149533804395E-2</c:v>
                </c:pt>
                <c:pt idx="15">
                  <c:v>-7.322532524389623E-2</c:v>
                </c:pt>
                <c:pt idx="16">
                  <c:v>-7.1473728905569661E-2</c:v>
                </c:pt>
                <c:pt idx="17">
                  <c:v>-7.1321923889581362E-2</c:v>
                </c:pt>
                <c:pt idx="18">
                  <c:v>-7.0854831532694271E-2</c:v>
                </c:pt>
                <c:pt idx="19">
                  <c:v>-7.0002387981375341E-2</c:v>
                </c:pt>
                <c:pt idx="20">
                  <c:v>-6.9208330974667276E-2</c:v>
                </c:pt>
                <c:pt idx="21">
                  <c:v>-6.8834657089157619E-2</c:v>
                </c:pt>
                <c:pt idx="22">
                  <c:v>-6.7713635432628608E-2</c:v>
                </c:pt>
                <c:pt idx="23">
                  <c:v>-6.7550153107718114E-2</c:v>
                </c:pt>
                <c:pt idx="24">
                  <c:v>-6.7363316164963299E-2</c:v>
                </c:pt>
                <c:pt idx="25">
                  <c:v>-6.7351638856041118E-2</c:v>
                </c:pt>
                <c:pt idx="26">
                  <c:v>-6.6931255734842737E-2</c:v>
                </c:pt>
                <c:pt idx="27">
                  <c:v>-6.5763524842625015E-2</c:v>
                </c:pt>
                <c:pt idx="28">
                  <c:v>-6.5728492915858486E-2</c:v>
                </c:pt>
                <c:pt idx="29">
                  <c:v>-6.5226368632204865E-2</c:v>
                </c:pt>
                <c:pt idx="30">
                  <c:v>-6.4152056211364564E-2</c:v>
                </c:pt>
                <c:pt idx="31">
                  <c:v>-6.4117024284598034E-2</c:v>
                </c:pt>
                <c:pt idx="32">
                  <c:v>-6.3930187341843192E-2</c:v>
                </c:pt>
                <c:pt idx="33">
                  <c:v>-6.3638254618788775E-2</c:v>
                </c:pt>
                <c:pt idx="34">
                  <c:v>-6.2972648010224674E-2</c:v>
                </c:pt>
                <c:pt idx="35">
                  <c:v>-6.1396211305730745E-2</c:v>
                </c:pt>
                <c:pt idx="36">
                  <c:v>-5.9522003223721309E-2</c:v>
                </c:pt>
                <c:pt idx="37">
                  <c:v>-5.920087722836144E-2</c:v>
                </c:pt>
                <c:pt idx="38">
                  <c:v>-5.8815526033929588E-2</c:v>
                </c:pt>
                <c:pt idx="39">
                  <c:v>-5.8290047132431619E-2</c:v>
                </c:pt>
                <c:pt idx="40">
                  <c:v>-5.7601085906023163E-2</c:v>
                </c:pt>
                <c:pt idx="41">
                  <c:v>-5.7425926272190501E-2</c:v>
                </c:pt>
                <c:pt idx="42">
                  <c:v>-5.7133993549136078E-2</c:v>
                </c:pt>
                <c:pt idx="43">
                  <c:v>-5.7110638931291723E-2</c:v>
                </c:pt>
                <c:pt idx="44">
                  <c:v>-5.6947156606381243E-2</c:v>
                </c:pt>
                <c:pt idx="45">
                  <c:v>-4.9286841953433004E-2</c:v>
                </c:pt>
                <c:pt idx="46">
                  <c:v>-4.927516464451083E-2</c:v>
                </c:pt>
                <c:pt idx="47">
                  <c:v>-4.9263487335588656E-2</c:v>
                </c:pt>
                <c:pt idx="48">
                  <c:v>-4.7476859070495543E-2</c:v>
                </c:pt>
                <c:pt idx="49">
                  <c:v>-4.7184926347441113E-2</c:v>
                </c:pt>
                <c:pt idx="50">
                  <c:v>-4.5211461139593172E-2</c:v>
                </c:pt>
                <c:pt idx="51">
                  <c:v>-4.5199783830670991E-2</c:v>
                </c:pt>
                <c:pt idx="52">
                  <c:v>-4.1322917268508168E-2</c:v>
                </c:pt>
                <c:pt idx="53">
                  <c:v>-4.1030984545453737E-2</c:v>
                </c:pt>
                <c:pt idx="54">
                  <c:v>-3.5180652775442967E-2</c:v>
                </c:pt>
                <c:pt idx="55">
                  <c:v>-3.3475765672805094E-2</c:v>
                </c:pt>
                <c:pt idx="56">
                  <c:v>-1.0833463672703537E-2</c:v>
                </c:pt>
                <c:pt idx="57">
                  <c:v>-9.2336723503652629E-3</c:v>
                </c:pt>
                <c:pt idx="58">
                  <c:v>3.3400182524503642E-2</c:v>
                </c:pt>
                <c:pt idx="59">
                  <c:v>3.5058360391452797E-2</c:v>
                </c:pt>
                <c:pt idx="60">
                  <c:v>3.5642225837561659E-2</c:v>
                </c:pt>
                <c:pt idx="61">
                  <c:v>3.9063677351759571E-2</c:v>
                </c:pt>
                <c:pt idx="62">
                  <c:v>3.9133741205292637E-2</c:v>
                </c:pt>
                <c:pt idx="63">
                  <c:v>4.1422493754039363E-2</c:v>
                </c:pt>
                <c:pt idx="64">
                  <c:v>4.281209351577845E-2</c:v>
                </c:pt>
                <c:pt idx="65">
                  <c:v>4.313321951113832E-2</c:v>
                </c:pt>
                <c:pt idx="66">
                  <c:v>4.313905816559941E-2</c:v>
                </c:pt>
                <c:pt idx="67">
                  <c:v>4.358863455910323E-2</c:v>
                </c:pt>
                <c:pt idx="68">
                  <c:v>4.4890654503925986E-2</c:v>
                </c:pt>
                <c:pt idx="69">
                  <c:v>4.5100846064525177E-2</c:v>
                </c:pt>
                <c:pt idx="70">
                  <c:v>5.1243110557590378E-2</c:v>
                </c:pt>
                <c:pt idx="71">
                  <c:v>5.1441624809267388E-2</c:v>
                </c:pt>
                <c:pt idx="72">
                  <c:v>5.3041416131605665E-2</c:v>
                </c:pt>
                <c:pt idx="73">
                  <c:v>5.3041416131605665E-2</c:v>
                </c:pt>
                <c:pt idx="74">
                  <c:v>5.3345026163582276E-2</c:v>
                </c:pt>
                <c:pt idx="75">
                  <c:v>5.3625281577714526E-2</c:v>
                </c:pt>
                <c:pt idx="76">
                  <c:v>5.3631120232175616E-2</c:v>
                </c:pt>
                <c:pt idx="77">
                  <c:v>5.5703842565862069E-2</c:v>
                </c:pt>
                <c:pt idx="78">
                  <c:v>5.7414568322961018E-2</c:v>
                </c:pt>
                <c:pt idx="79">
                  <c:v>6.1379014702040172E-2</c:v>
                </c:pt>
                <c:pt idx="80">
                  <c:v>6.3165642967133284E-2</c:v>
                </c:pt>
                <c:pt idx="81">
                  <c:v>6.5255881264202995E-2</c:v>
                </c:pt>
                <c:pt idx="82">
                  <c:v>6.7042509529296107E-2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1-4E3E-A6D4-A0D5903847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6">
                  <c:v>-1.1200000008102506E-3</c:v>
                </c:pt>
                <c:pt idx="56">
                  <c:v>8.993999996164348E-3</c:v>
                </c:pt>
                <c:pt idx="67">
                  <c:v>7.2930000023916364E-3</c:v>
                </c:pt>
                <c:pt idx="78">
                  <c:v>9.188499999436317E-2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71-4E3E-A6D4-A0D590384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60552"/>
        <c:axId val="1"/>
      </c:scatterChart>
      <c:valAx>
        <c:axId val="69536055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760549162124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5604395604395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6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461549998557872"/>
          <c:y val="0.9204921861831491"/>
          <c:w val="0.51538484612500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V0463 Cyg - O-C Diagr.</a:t>
            </a:r>
          </a:p>
        </c:rich>
      </c:tx>
      <c:layout>
        <c:manualLayout>
          <c:xMode val="edge"/>
          <c:yMode val="edge"/>
          <c:x val="0.41712403951701427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792535675083"/>
          <c:y val="0.14634168126798494"/>
          <c:w val="0.86937431394072451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-6.558200000472425E-2</c:v>
                </c:pt>
                <c:pt idx="1">
                  <c:v>2.9299999987415504E-3</c:v>
                </c:pt>
                <c:pt idx="2">
                  <c:v>1.0472000001755077E-2</c:v>
                </c:pt>
                <c:pt idx="3">
                  <c:v>-4.5160000008763745E-3</c:v>
                </c:pt>
                <c:pt idx="4">
                  <c:v>6.0039999989385251E-3</c:v>
                </c:pt>
                <c:pt idx="5">
                  <c:v>-2.9119999999238644E-2</c:v>
                </c:pt>
                <c:pt idx="7">
                  <c:v>8.7999999959720299E-4</c:v>
                </c:pt>
                <c:pt idx="8">
                  <c:v>-3.6682000001746928E-2</c:v>
                </c:pt>
                <c:pt idx="9">
                  <c:v>-9.7320000022591557E-3</c:v>
                </c:pt>
                <c:pt idx="10">
                  <c:v>1.0267999998177402E-2</c:v>
                </c:pt>
                <c:pt idx="11">
                  <c:v>4.4844000000011874E-2</c:v>
                </c:pt>
                <c:pt idx="12">
                  <c:v>2.8727999997499865E-2</c:v>
                </c:pt>
                <c:pt idx="13">
                  <c:v>-1.2638000003789784E-2</c:v>
                </c:pt>
                <c:pt idx="14">
                  <c:v>-3.5202000002755085E-2</c:v>
                </c:pt>
                <c:pt idx="15">
                  <c:v>-8.2400000028428622E-3</c:v>
                </c:pt>
                <c:pt idx="16">
                  <c:v>-6.5400000021327287E-3</c:v>
                </c:pt>
                <c:pt idx="17">
                  <c:v>-2.8460000030463561E-3</c:v>
                </c:pt>
                <c:pt idx="18">
                  <c:v>-1.3326000000233762E-2</c:v>
                </c:pt>
                <c:pt idx="19">
                  <c:v>1.2648000003537163E-2</c:v>
                </c:pt>
                <c:pt idx="20">
                  <c:v>3.4319999977014959E-3</c:v>
                </c:pt>
                <c:pt idx="21">
                  <c:v>-2.855200000340119E-2</c:v>
                </c:pt>
                <c:pt idx="22">
                  <c:v>-1.4503999998851214E-2</c:v>
                </c:pt>
                <c:pt idx="23">
                  <c:v>1.16280000002007E-2</c:v>
                </c:pt>
                <c:pt idx="24">
                  <c:v>4.1636000001744833E-2</c:v>
                </c:pt>
                <c:pt idx="25">
                  <c:v>7.3999995947815478E-5</c:v>
                </c:pt>
                <c:pt idx="26">
                  <c:v>-5.1579999999376014E-3</c:v>
                </c:pt>
                <c:pt idx="27">
                  <c:v>3.5641999995277729E-2</c:v>
                </c:pt>
                <c:pt idx="28">
                  <c:v>-4.0440000011585653E-3</c:v>
                </c:pt>
                <c:pt idx="29">
                  <c:v>-1.3209999997343402E-2</c:v>
                </c:pt>
                <c:pt idx="30">
                  <c:v>-8.913999998185318E-3</c:v>
                </c:pt>
                <c:pt idx="31">
                  <c:v>-3.56000000028871E-2</c:v>
                </c:pt>
                <c:pt idx="32">
                  <c:v>4.0799999260343611E-4</c:v>
                </c:pt>
                <c:pt idx="33">
                  <c:v>-1.3642000005347654E-2</c:v>
                </c:pt>
                <c:pt idx="34">
                  <c:v>1.0323999995307531E-2</c:v>
                </c:pt>
                <c:pt idx="35">
                  <c:v>-8.5460000045713969E-3</c:v>
                </c:pt>
                <c:pt idx="36">
                  <c:v>9.7752999994554557E-2</c:v>
                </c:pt>
                <c:pt idx="37">
                  <c:v>4.7979999944800511E-3</c:v>
                </c:pt>
                <c:pt idx="38">
                  <c:v>5.252000002656132E-3</c:v>
                </c:pt>
                <c:pt idx="39">
                  <c:v>9.961999996448867E-3</c:v>
                </c:pt>
                <c:pt idx="40">
                  <c:v>-1.4195999996445607E-2</c:v>
                </c:pt>
                <c:pt idx="41">
                  <c:v>2.137399999628542E-2</c:v>
                </c:pt>
                <c:pt idx="42">
                  <c:v>3.7323999997170176E-2</c:v>
                </c:pt>
                <c:pt idx="43">
                  <c:v>-5.8000000062747858E-3</c:v>
                </c:pt>
                <c:pt idx="44">
                  <c:v>-1.4667999996163417E-2</c:v>
                </c:pt>
                <c:pt idx="45">
                  <c:v>-3.3400000029359944E-3</c:v>
                </c:pt>
                <c:pt idx="46">
                  <c:v>2.2098000001278706E-2</c:v>
                </c:pt>
                <c:pt idx="47">
                  <c:v>-7.4640000020735897E-3</c:v>
                </c:pt>
                <c:pt idx="48">
                  <c:v>-1.5450000006239861E-2</c:v>
                </c:pt>
                <c:pt idx="49">
                  <c:v>1.3500000000931323E-2</c:v>
                </c:pt>
                <c:pt idx="50">
                  <c:v>-6.4780000029713847E-3</c:v>
                </c:pt>
                <c:pt idx="51">
                  <c:v>1.9959999997809064E-2</c:v>
                </c:pt>
                <c:pt idx="52">
                  <c:v>-4.6240000010584481E-3</c:v>
                </c:pt>
                <c:pt idx="53">
                  <c:v>-2.0673999999416992E-2</c:v>
                </c:pt>
                <c:pt idx="57">
                  <c:v>0</c:v>
                </c:pt>
                <c:pt idx="62">
                  <c:v>3.7195999997493345E-2</c:v>
                </c:pt>
                <c:pt idx="80">
                  <c:v>6.0600000004342292E-2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C-41A2-932D-0401EA72A3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  <c:pt idx="69">
                    <c:v>1.2999999999999999E-3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2.0000000000000001E-4</c:v>
                  </c:pt>
                  <c:pt idx="74">
                    <c:v>2.3E-3</c:v>
                  </c:pt>
                  <c:pt idx="75">
                    <c:v>3.5000000000000001E-3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1E-3</c:v>
                  </c:pt>
                  <c:pt idx="80">
                    <c:v>1.9E-2</c:v>
                  </c:pt>
                  <c:pt idx="81">
                    <c:v>1E-4</c:v>
                  </c:pt>
                  <c:pt idx="82">
                    <c:v>2.2000000000000001E-3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  <c:pt idx="69">
                    <c:v>1.2999999999999999E-3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2.0000000000000001E-4</c:v>
                  </c:pt>
                  <c:pt idx="74">
                    <c:v>2.3E-3</c:v>
                  </c:pt>
                  <c:pt idx="75">
                    <c:v>3.5000000000000001E-3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1E-3</c:v>
                  </c:pt>
                  <c:pt idx="80">
                    <c:v>1.9E-2</c:v>
                  </c:pt>
                  <c:pt idx="81">
                    <c:v>1E-4</c:v>
                  </c:pt>
                  <c:pt idx="8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63">
                  <c:v>4.7043999999004882E-2</c:v>
                </c:pt>
                <c:pt idx="77">
                  <c:v>5.601800000295043E-2</c:v>
                </c:pt>
                <c:pt idx="82">
                  <c:v>7.4915999997756444E-2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C-41A2-932D-0401EA72A3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54">
                  <c:v>-4.3600000208243728E-4</c:v>
                </c:pt>
                <c:pt idx="55">
                  <c:v>-2.68800000048941E-3</c:v>
                </c:pt>
                <c:pt idx="59">
                  <c:v>4.0933999996923376E-2</c:v>
                </c:pt>
                <c:pt idx="60">
                  <c:v>3.0034000003070105E-2</c:v>
                </c:pt>
                <c:pt idx="64">
                  <c:v>4.0265999996336177E-2</c:v>
                </c:pt>
                <c:pt idx="66">
                  <c:v>3.8929999995161779E-2</c:v>
                </c:pt>
                <c:pt idx="69">
                  <c:v>4.6013999999559019E-2</c:v>
                </c:pt>
                <c:pt idx="72">
                  <c:v>5.5004000001645181E-2</c:v>
                </c:pt>
                <c:pt idx="73">
                  <c:v>5.660399999760557E-2</c:v>
                </c:pt>
                <c:pt idx="74">
                  <c:v>5.4942000002483837E-2</c:v>
                </c:pt>
                <c:pt idx="75">
                  <c:v>4.6854000000166707E-2</c:v>
                </c:pt>
                <c:pt idx="76">
                  <c:v>4.6872999999322928E-2</c:v>
                </c:pt>
                <c:pt idx="79">
                  <c:v>5.6985999995958991E-2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C-41A2-932D-0401EA72A3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58">
                  <c:v>4.6227999999246094E-2</c:v>
                </c:pt>
                <c:pt idx="61">
                  <c:v>3.6076439479074907E-2</c:v>
                </c:pt>
                <c:pt idx="65">
                  <c:v>3.2210999997914769E-2</c:v>
                </c:pt>
                <c:pt idx="68">
                  <c:v>4.2429999994055834E-2</c:v>
                </c:pt>
                <c:pt idx="70">
                  <c:v>5.620199999975739E-2</c:v>
                </c:pt>
                <c:pt idx="71">
                  <c:v>5.3847999995923601E-2</c:v>
                </c:pt>
                <c:pt idx="81">
                  <c:v>6.8502000001899432E-2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5C-41A2-932D-0401EA72A3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5C-41A2-932D-0401EA72A3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5C-41A2-932D-0401EA72A3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2.0000000000000001E-4</c:v>
                  </c:pt>
                  <c:pt idx="59">
                    <c:v>2.7000000000000001E-3</c:v>
                  </c:pt>
                  <c:pt idx="60">
                    <c:v>4.0000000000000002E-4</c:v>
                  </c:pt>
                  <c:pt idx="61">
                    <c:v>1.4999999999999999E-4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7.0000000000000001E-3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5C-41A2-932D-0401EA72A3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-0.17025208507826647</c:v>
                </c:pt>
                <c:pt idx="1">
                  <c:v>-0.16997182966413421</c:v>
                </c:pt>
                <c:pt idx="2">
                  <c:v>-9.7467418566336075E-2</c:v>
                </c:pt>
                <c:pt idx="3">
                  <c:v>-9.4267835921659521E-2</c:v>
                </c:pt>
                <c:pt idx="4">
                  <c:v>-9.3800743564772429E-2</c:v>
                </c:pt>
                <c:pt idx="5">
                  <c:v>-9.3777388946928081E-2</c:v>
                </c:pt>
                <c:pt idx="6">
                  <c:v>-9.3777388946928081E-2</c:v>
                </c:pt>
                <c:pt idx="7">
                  <c:v>-9.3777388946928081E-2</c:v>
                </c:pt>
                <c:pt idx="8">
                  <c:v>-9.37657116380059E-2</c:v>
                </c:pt>
                <c:pt idx="9">
                  <c:v>-9.3473778914951469E-2</c:v>
                </c:pt>
                <c:pt idx="10">
                  <c:v>-9.3473778914951469E-2</c:v>
                </c:pt>
                <c:pt idx="11">
                  <c:v>-9.1698827958780538E-2</c:v>
                </c:pt>
                <c:pt idx="12">
                  <c:v>-9.1488636398181347E-2</c:v>
                </c:pt>
                <c:pt idx="13">
                  <c:v>-8.9818781222310018E-2</c:v>
                </c:pt>
                <c:pt idx="14">
                  <c:v>-8.8394149533804395E-2</c:v>
                </c:pt>
                <c:pt idx="15">
                  <c:v>-7.322532524389623E-2</c:v>
                </c:pt>
                <c:pt idx="16">
                  <c:v>-7.1473728905569661E-2</c:v>
                </c:pt>
                <c:pt idx="17">
                  <c:v>-7.1321923889581362E-2</c:v>
                </c:pt>
                <c:pt idx="18">
                  <c:v>-7.0854831532694271E-2</c:v>
                </c:pt>
                <c:pt idx="19">
                  <c:v>-7.0002387981375341E-2</c:v>
                </c:pt>
                <c:pt idx="20">
                  <c:v>-6.9208330974667276E-2</c:v>
                </c:pt>
                <c:pt idx="21">
                  <c:v>-6.8834657089157619E-2</c:v>
                </c:pt>
                <c:pt idx="22">
                  <c:v>-6.7713635432628608E-2</c:v>
                </c:pt>
                <c:pt idx="23">
                  <c:v>-6.7550153107718114E-2</c:v>
                </c:pt>
                <c:pt idx="24">
                  <c:v>-6.7363316164963299E-2</c:v>
                </c:pt>
                <c:pt idx="25">
                  <c:v>-6.7351638856041118E-2</c:v>
                </c:pt>
                <c:pt idx="26">
                  <c:v>-6.6931255734842737E-2</c:v>
                </c:pt>
                <c:pt idx="27">
                  <c:v>-6.5763524842625015E-2</c:v>
                </c:pt>
                <c:pt idx="28">
                  <c:v>-6.5728492915858486E-2</c:v>
                </c:pt>
                <c:pt idx="29">
                  <c:v>-6.5226368632204865E-2</c:v>
                </c:pt>
                <c:pt idx="30">
                  <c:v>-6.4152056211364564E-2</c:v>
                </c:pt>
                <c:pt idx="31">
                  <c:v>-6.4117024284598034E-2</c:v>
                </c:pt>
                <c:pt idx="32">
                  <c:v>-6.3930187341843192E-2</c:v>
                </c:pt>
                <c:pt idx="33">
                  <c:v>-6.3638254618788775E-2</c:v>
                </c:pt>
                <c:pt idx="34">
                  <c:v>-6.2972648010224674E-2</c:v>
                </c:pt>
                <c:pt idx="35">
                  <c:v>-6.1396211305730745E-2</c:v>
                </c:pt>
                <c:pt idx="36">
                  <c:v>-5.9522003223721309E-2</c:v>
                </c:pt>
                <c:pt idx="37">
                  <c:v>-5.920087722836144E-2</c:v>
                </c:pt>
                <c:pt idx="38">
                  <c:v>-5.8815526033929588E-2</c:v>
                </c:pt>
                <c:pt idx="39">
                  <c:v>-5.8290047132431619E-2</c:v>
                </c:pt>
                <c:pt idx="40">
                  <c:v>-5.7601085906023163E-2</c:v>
                </c:pt>
                <c:pt idx="41">
                  <c:v>-5.7425926272190501E-2</c:v>
                </c:pt>
                <c:pt idx="42">
                  <c:v>-5.7133993549136078E-2</c:v>
                </c:pt>
                <c:pt idx="43">
                  <c:v>-5.7110638931291723E-2</c:v>
                </c:pt>
                <c:pt idx="44">
                  <c:v>-5.6947156606381243E-2</c:v>
                </c:pt>
                <c:pt idx="45">
                  <c:v>-4.9286841953433004E-2</c:v>
                </c:pt>
                <c:pt idx="46">
                  <c:v>-4.927516464451083E-2</c:v>
                </c:pt>
                <c:pt idx="47">
                  <c:v>-4.9263487335588656E-2</c:v>
                </c:pt>
                <c:pt idx="48">
                  <c:v>-4.7476859070495543E-2</c:v>
                </c:pt>
                <c:pt idx="49">
                  <c:v>-4.7184926347441113E-2</c:v>
                </c:pt>
                <c:pt idx="50">
                  <c:v>-4.5211461139593172E-2</c:v>
                </c:pt>
                <c:pt idx="51">
                  <c:v>-4.5199783830670991E-2</c:v>
                </c:pt>
                <c:pt idx="52">
                  <c:v>-4.1322917268508168E-2</c:v>
                </c:pt>
                <c:pt idx="53">
                  <c:v>-4.1030984545453737E-2</c:v>
                </c:pt>
                <c:pt idx="54">
                  <c:v>-3.5180652775442967E-2</c:v>
                </c:pt>
                <c:pt idx="55">
                  <c:v>-3.3475765672805094E-2</c:v>
                </c:pt>
                <c:pt idx="56">
                  <c:v>-1.0833463672703537E-2</c:v>
                </c:pt>
                <c:pt idx="57">
                  <c:v>-9.2336723503652629E-3</c:v>
                </c:pt>
                <c:pt idx="58">
                  <c:v>3.3400182524503642E-2</c:v>
                </c:pt>
                <c:pt idx="59">
                  <c:v>3.5058360391452797E-2</c:v>
                </c:pt>
                <c:pt idx="60">
                  <c:v>3.5642225837561659E-2</c:v>
                </c:pt>
                <c:pt idx="61">
                  <c:v>3.9063677351759571E-2</c:v>
                </c:pt>
                <c:pt idx="62">
                  <c:v>3.9133741205292637E-2</c:v>
                </c:pt>
                <c:pt idx="63">
                  <c:v>4.1422493754039363E-2</c:v>
                </c:pt>
                <c:pt idx="64">
                  <c:v>4.281209351577845E-2</c:v>
                </c:pt>
                <c:pt idx="65">
                  <c:v>4.313321951113832E-2</c:v>
                </c:pt>
                <c:pt idx="66">
                  <c:v>4.313905816559941E-2</c:v>
                </c:pt>
                <c:pt idx="67">
                  <c:v>4.358863455910323E-2</c:v>
                </c:pt>
                <c:pt idx="68">
                  <c:v>4.4890654503925986E-2</c:v>
                </c:pt>
                <c:pt idx="69">
                  <c:v>4.5100846064525177E-2</c:v>
                </c:pt>
                <c:pt idx="70">
                  <c:v>5.1243110557590378E-2</c:v>
                </c:pt>
                <c:pt idx="71">
                  <c:v>5.1441624809267388E-2</c:v>
                </c:pt>
                <c:pt idx="72">
                  <c:v>5.3041416131605665E-2</c:v>
                </c:pt>
                <c:pt idx="73">
                  <c:v>5.3041416131605665E-2</c:v>
                </c:pt>
                <c:pt idx="74">
                  <c:v>5.3345026163582276E-2</c:v>
                </c:pt>
                <c:pt idx="75">
                  <c:v>5.3625281577714526E-2</c:v>
                </c:pt>
                <c:pt idx="76">
                  <c:v>5.3631120232175616E-2</c:v>
                </c:pt>
                <c:pt idx="77">
                  <c:v>5.5703842565862069E-2</c:v>
                </c:pt>
                <c:pt idx="78">
                  <c:v>5.7414568322961018E-2</c:v>
                </c:pt>
                <c:pt idx="79">
                  <c:v>6.1379014702040172E-2</c:v>
                </c:pt>
                <c:pt idx="80">
                  <c:v>6.3165642967133284E-2</c:v>
                </c:pt>
                <c:pt idx="81">
                  <c:v>6.5255881264202995E-2</c:v>
                </c:pt>
                <c:pt idx="82">
                  <c:v>6.7042509529296107E-2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5C-41A2-932D-0401EA72A3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-13789</c:v>
                </c:pt>
                <c:pt idx="1">
                  <c:v>-13765</c:v>
                </c:pt>
                <c:pt idx="2">
                  <c:v>-7556</c:v>
                </c:pt>
                <c:pt idx="3">
                  <c:v>-7282</c:v>
                </c:pt>
                <c:pt idx="4">
                  <c:v>-7242</c:v>
                </c:pt>
                <c:pt idx="5">
                  <c:v>-7240</c:v>
                </c:pt>
                <c:pt idx="6">
                  <c:v>-7240</c:v>
                </c:pt>
                <c:pt idx="7">
                  <c:v>-7240</c:v>
                </c:pt>
                <c:pt idx="8">
                  <c:v>-7239</c:v>
                </c:pt>
                <c:pt idx="9">
                  <c:v>-7214</c:v>
                </c:pt>
                <c:pt idx="10">
                  <c:v>-7214</c:v>
                </c:pt>
                <c:pt idx="11">
                  <c:v>-7062</c:v>
                </c:pt>
                <c:pt idx="12">
                  <c:v>-7044</c:v>
                </c:pt>
                <c:pt idx="13">
                  <c:v>-6901</c:v>
                </c:pt>
                <c:pt idx="14">
                  <c:v>-6779</c:v>
                </c:pt>
                <c:pt idx="15">
                  <c:v>-5480</c:v>
                </c:pt>
                <c:pt idx="16">
                  <c:v>-5330</c:v>
                </c:pt>
                <c:pt idx="17">
                  <c:v>-5317</c:v>
                </c:pt>
                <c:pt idx="18">
                  <c:v>-5277</c:v>
                </c:pt>
                <c:pt idx="19">
                  <c:v>-5204</c:v>
                </c:pt>
                <c:pt idx="20">
                  <c:v>-5136</c:v>
                </c:pt>
                <c:pt idx="21">
                  <c:v>-5104</c:v>
                </c:pt>
                <c:pt idx="22">
                  <c:v>-5008</c:v>
                </c:pt>
                <c:pt idx="23">
                  <c:v>-4994</c:v>
                </c:pt>
                <c:pt idx="24">
                  <c:v>-4978</c:v>
                </c:pt>
                <c:pt idx="25">
                  <c:v>-4977</c:v>
                </c:pt>
                <c:pt idx="26">
                  <c:v>-4941</c:v>
                </c:pt>
                <c:pt idx="27">
                  <c:v>-4841</c:v>
                </c:pt>
                <c:pt idx="28">
                  <c:v>-4838</c:v>
                </c:pt>
                <c:pt idx="29">
                  <c:v>-4795</c:v>
                </c:pt>
                <c:pt idx="30">
                  <c:v>-4703</c:v>
                </c:pt>
                <c:pt idx="31">
                  <c:v>-4700</c:v>
                </c:pt>
                <c:pt idx="32">
                  <c:v>-4684</c:v>
                </c:pt>
                <c:pt idx="33">
                  <c:v>-4659</c:v>
                </c:pt>
                <c:pt idx="34">
                  <c:v>-4602</c:v>
                </c:pt>
                <c:pt idx="35">
                  <c:v>-4467</c:v>
                </c:pt>
                <c:pt idx="36">
                  <c:v>-4306.5</c:v>
                </c:pt>
                <c:pt idx="37">
                  <c:v>-4279</c:v>
                </c:pt>
                <c:pt idx="38">
                  <c:v>-4246</c:v>
                </c:pt>
                <c:pt idx="39">
                  <c:v>-4201</c:v>
                </c:pt>
                <c:pt idx="40">
                  <c:v>-4142</c:v>
                </c:pt>
                <c:pt idx="41">
                  <c:v>-4127</c:v>
                </c:pt>
                <c:pt idx="42">
                  <c:v>-4102</c:v>
                </c:pt>
                <c:pt idx="43">
                  <c:v>-4100</c:v>
                </c:pt>
                <c:pt idx="44">
                  <c:v>-4086</c:v>
                </c:pt>
                <c:pt idx="45">
                  <c:v>-3430</c:v>
                </c:pt>
                <c:pt idx="46">
                  <c:v>-3429</c:v>
                </c:pt>
                <c:pt idx="47">
                  <c:v>-3428</c:v>
                </c:pt>
                <c:pt idx="48">
                  <c:v>-3275</c:v>
                </c:pt>
                <c:pt idx="49">
                  <c:v>-3250</c:v>
                </c:pt>
                <c:pt idx="50">
                  <c:v>-3081</c:v>
                </c:pt>
                <c:pt idx="51">
                  <c:v>-3080</c:v>
                </c:pt>
                <c:pt idx="52">
                  <c:v>-2748</c:v>
                </c:pt>
                <c:pt idx="53">
                  <c:v>-2723</c:v>
                </c:pt>
                <c:pt idx="54">
                  <c:v>-2222</c:v>
                </c:pt>
                <c:pt idx="55">
                  <c:v>-2076</c:v>
                </c:pt>
                <c:pt idx="56">
                  <c:v>-137</c:v>
                </c:pt>
                <c:pt idx="57">
                  <c:v>0</c:v>
                </c:pt>
                <c:pt idx="58">
                  <c:v>3651</c:v>
                </c:pt>
                <c:pt idx="59">
                  <c:v>3793</c:v>
                </c:pt>
                <c:pt idx="60">
                  <c:v>3843</c:v>
                </c:pt>
                <c:pt idx="61">
                  <c:v>4136</c:v>
                </c:pt>
                <c:pt idx="62">
                  <c:v>4142</c:v>
                </c:pt>
                <c:pt idx="63">
                  <c:v>4338</c:v>
                </c:pt>
                <c:pt idx="64">
                  <c:v>4457</c:v>
                </c:pt>
                <c:pt idx="65">
                  <c:v>4484.5</c:v>
                </c:pt>
                <c:pt idx="66">
                  <c:v>4485</c:v>
                </c:pt>
                <c:pt idx="67">
                  <c:v>4523.5</c:v>
                </c:pt>
                <c:pt idx="68">
                  <c:v>4635</c:v>
                </c:pt>
                <c:pt idx="69">
                  <c:v>4653</c:v>
                </c:pt>
                <c:pt idx="70">
                  <c:v>5179</c:v>
                </c:pt>
                <c:pt idx="71">
                  <c:v>5196</c:v>
                </c:pt>
                <c:pt idx="72">
                  <c:v>5333</c:v>
                </c:pt>
                <c:pt idx="73">
                  <c:v>5333</c:v>
                </c:pt>
                <c:pt idx="74">
                  <c:v>5359</c:v>
                </c:pt>
                <c:pt idx="75">
                  <c:v>5383</c:v>
                </c:pt>
                <c:pt idx="76">
                  <c:v>5383.5</c:v>
                </c:pt>
                <c:pt idx="77">
                  <c:v>5561</c:v>
                </c:pt>
                <c:pt idx="78">
                  <c:v>5707.5</c:v>
                </c:pt>
                <c:pt idx="79">
                  <c:v>6047</c:v>
                </c:pt>
                <c:pt idx="80">
                  <c:v>6200</c:v>
                </c:pt>
                <c:pt idx="81">
                  <c:v>6379</c:v>
                </c:pt>
                <c:pt idx="82">
                  <c:v>6532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6">
                  <c:v>-1.1200000008102506E-3</c:v>
                </c:pt>
                <c:pt idx="56">
                  <c:v>8.993999996164348E-3</c:v>
                </c:pt>
                <c:pt idx="67">
                  <c:v>7.2930000023916364E-3</c:v>
                </c:pt>
                <c:pt idx="78">
                  <c:v>9.188499999436317E-2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5C-41A2-932D-0401EA72A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66672"/>
        <c:axId val="1"/>
      </c:scatterChart>
      <c:valAx>
        <c:axId val="6953666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9813391877063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07793633369926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6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4006586169045"/>
          <c:y val="0.92073298764483702"/>
          <c:w val="0.514818880351262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409575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19586C0-2193-88B1-5FCA-A9FEE60BF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9525</xdr:rowOff>
    </xdr:from>
    <xdr:to>
      <xdr:col>27</xdr:col>
      <xdr:colOff>228600</xdr:colOff>
      <xdr:row>18</xdr:row>
      <xdr:rowOff>47625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61A1036C-009F-BEFA-779F-DAE97F1EB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bav-astro.de/sfs/BAVM_link.php?BAVMnr=174" TargetMode="External"/><Relationship Id="rId11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71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konkoly.hu/cgi-bin/IBVS?5745" TargetMode="External"/><Relationship Id="rId14" Type="http://schemas.openxmlformats.org/officeDocument/2006/relationships/hyperlink" Target="http://www.bav-astro.de/sfs/BAVM_link.php?BAVMnr=212" TargetMode="External"/><Relationship Id="rId22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6"/>
  <sheetViews>
    <sheetView tabSelected="1" workbookViewId="0">
      <pane xSplit="14" ySplit="21" topLeftCell="O8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style="6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2" t="s">
        <v>53</v>
      </c>
      <c r="E1" s="9"/>
      <c r="F1" s="9"/>
    </row>
    <row r="2" spans="1:6" x14ac:dyDescent="0.2">
      <c r="A2" t="s">
        <v>25</v>
      </c>
      <c r="B2" s="25" t="s">
        <v>45</v>
      </c>
      <c r="C2" s="64" t="s">
        <v>27</v>
      </c>
      <c r="E2" s="9"/>
      <c r="F2" s="9"/>
    </row>
    <row r="3" spans="1:6" ht="13.5" thickBot="1" x14ac:dyDescent="0.25">
      <c r="B3" s="24"/>
      <c r="C3" s="64" t="s">
        <v>28</v>
      </c>
    </row>
    <row r="4" spans="1:6" ht="14.25" thickTop="1" thickBot="1" x14ac:dyDescent="0.25">
      <c r="A4" s="4" t="s">
        <v>2</v>
      </c>
      <c r="C4" s="65">
        <v>44081.508000000002</v>
      </c>
      <c r="D4" s="13">
        <v>2.1175619999999999</v>
      </c>
    </row>
    <row r="5" spans="1:6" ht="13.5" thickTop="1" x14ac:dyDescent="0.2">
      <c r="A5" s="17" t="s">
        <v>37</v>
      </c>
      <c r="B5" s="10"/>
      <c r="C5" s="66">
        <v>-9.5</v>
      </c>
      <c r="D5" s="10" t="s">
        <v>38</v>
      </c>
    </row>
    <row r="6" spans="1:6" x14ac:dyDescent="0.2">
      <c r="A6" s="4" t="s">
        <v>3</v>
      </c>
    </row>
    <row r="7" spans="1:6" x14ac:dyDescent="0.2">
      <c r="A7" t="s">
        <v>4</v>
      </c>
      <c r="C7" s="67">
        <f>C4</f>
        <v>44081.508000000002</v>
      </c>
    </row>
    <row r="8" spans="1:6" x14ac:dyDescent="0.2">
      <c r="A8" t="s">
        <v>5</v>
      </c>
      <c r="C8" s="67">
        <f>D4</f>
        <v>2.1175619999999999</v>
      </c>
    </row>
    <row r="9" spans="1:6" x14ac:dyDescent="0.2">
      <c r="A9" s="27" t="s">
        <v>48</v>
      </c>
      <c r="B9" s="28">
        <v>79</v>
      </c>
      <c r="C9" s="68" t="str">
        <f>"F"&amp;B9</f>
        <v>F79</v>
      </c>
      <c r="D9" s="26" t="str">
        <f>"G"&amp;B9</f>
        <v>G79</v>
      </c>
    </row>
    <row r="10" spans="1:6" ht="13.5" thickBot="1" x14ac:dyDescent="0.25">
      <c r="A10" s="10"/>
      <c r="B10" s="10"/>
      <c r="C10" s="69" t="s">
        <v>21</v>
      </c>
      <c r="D10" s="3" t="s">
        <v>22</v>
      </c>
      <c r="E10" s="10"/>
    </row>
    <row r="11" spans="1:6" x14ac:dyDescent="0.2">
      <c r="A11" s="10" t="s">
        <v>17</v>
      </c>
      <c r="B11" s="10"/>
      <c r="C11" s="70">
        <f ca="1">INTERCEPT(INDIRECT($D$9):G985,INDIRECT($C$9):F985)</f>
        <v>-9.2336723503652629E-3</v>
      </c>
      <c r="D11" s="2"/>
      <c r="E11" s="10"/>
    </row>
    <row r="12" spans="1:6" x14ac:dyDescent="0.2">
      <c r="A12" s="10" t="s">
        <v>18</v>
      </c>
      <c r="B12" s="10"/>
      <c r="C12" s="70">
        <f ca="1">SLOPE(INDIRECT($D$9):G985,INDIRECT($C$9):F985)</f>
        <v>1.1677308922177185E-5</v>
      </c>
      <c r="D12" s="2"/>
      <c r="E12" s="10"/>
    </row>
    <row r="13" spans="1:6" x14ac:dyDescent="0.2">
      <c r="A13" s="10" t="s">
        <v>20</v>
      </c>
      <c r="B13" s="10"/>
      <c r="C13" s="71" t="s">
        <v>15</v>
      </c>
    </row>
    <row r="14" spans="1:6" x14ac:dyDescent="0.2">
      <c r="A14" s="10"/>
      <c r="B14" s="10"/>
      <c r="C14" s="72"/>
    </row>
    <row r="15" spans="1:6" x14ac:dyDescent="0.2">
      <c r="A15" s="19" t="s">
        <v>19</v>
      </c>
      <c r="B15" s="10"/>
      <c r="C15" s="73">
        <f ca="1">(C7+C11)+(C8+C12)*INT(MAX(F21:F3526))</f>
        <v>57913.490026509528</v>
      </c>
      <c r="E15" s="20" t="s">
        <v>46</v>
      </c>
      <c r="F15" s="18">
        <v>1</v>
      </c>
    </row>
    <row r="16" spans="1:6" x14ac:dyDescent="0.2">
      <c r="A16" s="11" t="s">
        <v>6</v>
      </c>
      <c r="B16" s="10"/>
      <c r="C16" s="74">
        <f ca="1">+C8+C12</f>
        <v>2.117573677308922</v>
      </c>
      <c r="E16" s="20" t="s">
        <v>39</v>
      </c>
      <c r="F16" s="21">
        <f ca="1">NOW()+15018.5+$C$5/24</f>
        <v>60340.68498194444</v>
      </c>
    </row>
    <row r="17" spans="1:21" ht="13.5" thickBot="1" x14ac:dyDescent="0.25">
      <c r="A17" s="20" t="s">
        <v>34</v>
      </c>
      <c r="B17" s="10"/>
      <c r="C17" s="72">
        <f>COUNT(C21:C2184)</f>
        <v>83</v>
      </c>
      <c r="E17" s="20" t="s">
        <v>47</v>
      </c>
      <c r="F17" s="21">
        <f ca="1">ROUND(2*(F16-$C$7)/$C$8,0)/2+F15</f>
        <v>7679.5</v>
      </c>
    </row>
    <row r="18" spans="1:21" ht="14.25" thickTop="1" thickBot="1" x14ac:dyDescent="0.25">
      <c r="A18" s="11" t="s">
        <v>7</v>
      </c>
      <c r="B18" s="10"/>
      <c r="C18" s="75">
        <f ca="1">+C15</f>
        <v>57913.490026509528</v>
      </c>
      <c r="D18" s="23">
        <f ca="1">+C16</f>
        <v>2.117573677308922</v>
      </c>
      <c r="E18" s="20" t="s">
        <v>40</v>
      </c>
      <c r="F18" s="26">
        <f ca="1">ROUND(2*(F16-$C$15)/$C$16,0)/2+F15</f>
        <v>1147</v>
      </c>
    </row>
    <row r="19" spans="1:21" ht="13.5" thickTop="1" x14ac:dyDescent="0.2">
      <c r="E19" s="20" t="s">
        <v>41</v>
      </c>
      <c r="F19" s="22">
        <f ca="1">+$C$15+$C$16*F18-15018.5-$C$5/24</f>
        <v>45324.242867716195</v>
      </c>
    </row>
    <row r="20" spans="1:21" ht="13.5" thickBot="1" x14ac:dyDescent="0.25">
      <c r="A20" s="3" t="s">
        <v>8</v>
      </c>
      <c r="B20" s="3" t="s">
        <v>9</v>
      </c>
      <c r="C20" s="69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65</v>
      </c>
      <c r="I20" s="6" t="s">
        <v>52</v>
      </c>
      <c r="J20" s="6" t="s">
        <v>62</v>
      </c>
      <c r="K20" s="6" t="s">
        <v>60</v>
      </c>
      <c r="L20" s="6" t="s">
        <v>363</v>
      </c>
      <c r="M20" s="6" t="s">
        <v>364</v>
      </c>
      <c r="N20" s="6" t="s">
        <v>365</v>
      </c>
      <c r="O20" s="6" t="s">
        <v>24</v>
      </c>
      <c r="P20" s="5" t="s">
        <v>23</v>
      </c>
      <c r="Q20" s="3" t="s">
        <v>16</v>
      </c>
      <c r="R20" s="3"/>
      <c r="S20" s="3"/>
      <c r="T20" s="3"/>
      <c r="U20" s="35" t="s">
        <v>55</v>
      </c>
    </row>
    <row r="21" spans="1:21" x14ac:dyDescent="0.2">
      <c r="A21" s="80" t="s">
        <v>75</v>
      </c>
      <c r="B21" s="81" t="s">
        <v>43</v>
      </c>
      <c r="C21" s="82">
        <v>14882.38</v>
      </c>
      <c r="D21" s="83" t="s">
        <v>52</v>
      </c>
      <c r="E21">
        <f t="shared" ref="E21:E52" si="0">+(C21-C$7)/C$8</f>
        <v>-13789.030970521762</v>
      </c>
      <c r="F21">
        <f t="shared" ref="F21:F52" si="1">ROUND(2*E21,0)/2</f>
        <v>-13789</v>
      </c>
      <c r="G21">
        <f t="shared" ref="G21:G26" si="2">C21-($C$7+$C$8*$F21)</f>
        <v>-6.558200000472425E-2</v>
      </c>
      <c r="H21" s="37">
        <f t="shared" ref="H21:H26" si="3">G21</f>
        <v>-6.558200000472425E-2</v>
      </c>
      <c r="O21">
        <f t="shared" ref="O21:O52" ca="1" si="4">+C$11+C$12*$F21</f>
        <v>-0.17025208507826647</v>
      </c>
      <c r="Q21" s="1" t="s">
        <v>367</v>
      </c>
      <c r="R21" s="1"/>
      <c r="S21" s="1"/>
      <c r="T21" s="1"/>
      <c r="U21" s="36"/>
    </row>
    <row r="22" spans="1:21" x14ac:dyDescent="0.2">
      <c r="A22" s="55" t="s">
        <v>75</v>
      </c>
      <c r="B22" s="62" t="s">
        <v>43</v>
      </c>
      <c r="C22" s="58">
        <v>14933.27</v>
      </c>
      <c r="D22" s="56" t="s">
        <v>52</v>
      </c>
      <c r="E22">
        <f t="shared" si="0"/>
        <v>-13764.998616333312</v>
      </c>
      <c r="F22">
        <f t="shared" si="1"/>
        <v>-13765</v>
      </c>
      <c r="G22">
        <f t="shared" si="2"/>
        <v>2.9299999987415504E-3</v>
      </c>
      <c r="H22" s="37">
        <f t="shared" si="3"/>
        <v>2.9299999987415504E-3</v>
      </c>
      <c r="O22">
        <f t="shared" ca="1" si="4"/>
        <v>-0.16997182966413421</v>
      </c>
      <c r="Q22" s="1" t="s">
        <v>368</v>
      </c>
      <c r="R22" s="1"/>
      <c r="S22" s="1"/>
      <c r="T22" s="1"/>
      <c r="U22" s="36"/>
    </row>
    <row r="23" spans="1:21" x14ac:dyDescent="0.2">
      <c r="A23" s="55" t="s">
        <v>83</v>
      </c>
      <c r="B23" s="62" t="s">
        <v>43</v>
      </c>
      <c r="C23" s="58">
        <v>28081.22</v>
      </c>
      <c r="D23" s="57" t="s">
        <v>52</v>
      </c>
      <c r="E23">
        <f t="shared" si="0"/>
        <v>-7555.9950546902528</v>
      </c>
      <c r="F23">
        <f t="shared" si="1"/>
        <v>-7556</v>
      </c>
      <c r="G23">
        <f t="shared" si="2"/>
        <v>1.0472000001755077E-2</v>
      </c>
      <c r="H23" s="37">
        <f t="shared" si="3"/>
        <v>1.0472000001755077E-2</v>
      </c>
      <c r="O23">
        <f t="shared" ca="1" si="4"/>
        <v>-9.7467418566336075E-2</v>
      </c>
      <c r="Q23" s="1">
        <f t="shared" ref="Q21:Q52" si="5">+C23-15018.5</f>
        <v>13062.720000000001</v>
      </c>
      <c r="R23" s="1"/>
      <c r="S23" s="1"/>
      <c r="T23" s="1"/>
      <c r="U23" s="36"/>
    </row>
    <row r="24" spans="1:21" x14ac:dyDescent="0.2">
      <c r="A24" s="55" t="s">
        <v>88</v>
      </c>
      <c r="B24" s="62" t="s">
        <v>43</v>
      </c>
      <c r="C24" s="58">
        <v>28661.417000000001</v>
      </c>
      <c r="D24" s="57" t="s">
        <v>52</v>
      </c>
      <c r="E24">
        <f t="shared" si="0"/>
        <v>-7282.002132641217</v>
      </c>
      <c r="F24">
        <f t="shared" si="1"/>
        <v>-7282</v>
      </c>
      <c r="G24">
        <f t="shared" si="2"/>
        <v>-4.5160000008763745E-3</v>
      </c>
      <c r="H24" s="37">
        <f t="shared" si="3"/>
        <v>-4.5160000008763745E-3</v>
      </c>
      <c r="O24">
        <f t="shared" ca="1" si="4"/>
        <v>-9.4267835921659521E-2</v>
      </c>
      <c r="Q24" s="1">
        <f t="shared" si="5"/>
        <v>13642.917000000001</v>
      </c>
      <c r="R24" s="1"/>
      <c r="S24" s="1"/>
      <c r="T24" s="1"/>
    </row>
    <row r="25" spans="1:21" x14ac:dyDescent="0.2">
      <c r="A25" s="55" t="s">
        <v>75</v>
      </c>
      <c r="B25" s="62" t="s">
        <v>43</v>
      </c>
      <c r="C25" s="58">
        <v>28746.13</v>
      </c>
      <c r="D25" s="57" t="s">
        <v>52</v>
      </c>
      <c r="E25">
        <f t="shared" si="0"/>
        <v>-7241.9971646638924</v>
      </c>
      <c r="F25">
        <f t="shared" si="1"/>
        <v>-7242</v>
      </c>
      <c r="G25">
        <f t="shared" si="2"/>
        <v>6.0039999989385251E-3</v>
      </c>
      <c r="H25" s="37">
        <f t="shared" si="3"/>
        <v>6.0039999989385251E-3</v>
      </c>
      <c r="O25">
        <f t="shared" ca="1" si="4"/>
        <v>-9.3800743564772429E-2</v>
      </c>
      <c r="Q25" s="1">
        <f t="shared" si="5"/>
        <v>13727.630000000001</v>
      </c>
      <c r="R25" s="1"/>
      <c r="S25" s="1"/>
      <c r="T25" s="1"/>
    </row>
    <row r="26" spans="1:21" x14ac:dyDescent="0.2">
      <c r="A26" s="55" t="s">
        <v>83</v>
      </c>
      <c r="B26" s="62" t="s">
        <v>43</v>
      </c>
      <c r="C26" s="58">
        <v>28750.33</v>
      </c>
      <c r="D26" s="57" t="s">
        <v>52</v>
      </c>
      <c r="E26">
        <f t="shared" si="0"/>
        <v>-7240.0137516634695</v>
      </c>
      <c r="F26">
        <f t="shared" si="1"/>
        <v>-7240</v>
      </c>
      <c r="G26">
        <f t="shared" si="2"/>
        <v>-2.9119999999238644E-2</v>
      </c>
      <c r="H26" s="37">
        <f t="shared" si="3"/>
        <v>-2.9119999999238644E-2</v>
      </c>
      <c r="O26">
        <f t="shared" ca="1" si="4"/>
        <v>-9.3777388946928081E-2</v>
      </c>
      <c r="Q26" s="1">
        <f t="shared" si="5"/>
        <v>13731.830000000002</v>
      </c>
      <c r="R26" s="1"/>
      <c r="S26" s="1"/>
      <c r="T26" s="1"/>
    </row>
    <row r="27" spans="1:21" x14ac:dyDescent="0.2">
      <c r="A27" t="s">
        <v>29</v>
      </c>
      <c r="B27" s="2"/>
      <c r="C27" s="16">
        <v>28750.358</v>
      </c>
      <c r="D27" s="14"/>
      <c r="E27">
        <f t="shared" si="0"/>
        <v>-7240.0005289101346</v>
      </c>
      <c r="F27">
        <f t="shared" si="1"/>
        <v>-7240</v>
      </c>
      <c r="O27">
        <f t="shared" ca="1" si="4"/>
        <v>-9.3777388946928081E-2</v>
      </c>
      <c r="Q27" s="1">
        <f t="shared" si="5"/>
        <v>13731.858</v>
      </c>
      <c r="R27" s="1"/>
      <c r="S27" s="1"/>
      <c r="T27" s="1"/>
      <c r="U27" s="36">
        <v>-1.1200000008102506E-3</v>
      </c>
    </row>
    <row r="28" spans="1:21" x14ac:dyDescent="0.2">
      <c r="A28" s="55" t="s">
        <v>75</v>
      </c>
      <c r="B28" s="62" t="s">
        <v>43</v>
      </c>
      <c r="C28" s="58">
        <v>28750.36</v>
      </c>
      <c r="D28" s="57" t="s">
        <v>52</v>
      </c>
      <c r="E28">
        <f t="shared" si="0"/>
        <v>-7239.9995844277528</v>
      </c>
      <c r="F28">
        <f t="shared" si="1"/>
        <v>-7240</v>
      </c>
      <c r="G28">
        <f t="shared" ref="G28:G59" si="6">C28-($C$7+$C$8*$F28)</f>
        <v>8.7999999959720299E-4</v>
      </c>
      <c r="H28" s="37">
        <f t="shared" ref="H28:H74" si="7">G28</f>
        <v>8.7999999959720299E-4</v>
      </c>
      <c r="O28">
        <f t="shared" ca="1" si="4"/>
        <v>-9.3777388946928081E-2</v>
      </c>
      <c r="Q28" s="1">
        <f t="shared" si="5"/>
        <v>13731.86</v>
      </c>
      <c r="R28" s="1"/>
      <c r="S28" s="1"/>
      <c r="T28" s="1"/>
    </row>
    <row r="29" spans="1:21" x14ac:dyDescent="0.2">
      <c r="A29" s="55" t="s">
        <v>75</v>
      </c>
      <c r="B29" s="62" t="s">
        <v>43</v>
      </c>
      <c r="C29" s="58">
        <v>28752.44</v>
      </c>
      <c r="D29" s="57" t="s">
        <v>52</v>
      </c>
      <c r="E29">
        <f t="shared" si="0"/>
        <v>-7239.0173227513542</v>
      </c>
      <c r="F29">
        <f t="shared" si="1"/>
        <v>-7239</v>
      </c>
      <c r="G29">
        <f t="shared" si="6"/>
        <v>-3.6682000001746928E-2</v>
      </c>
      <c r="H29" s="37">
        <f t="shared" si="7"/>
        <v>-3.6682000001746928E-2</v>
      </c>
      <c r="O29">
        <f t="shared" ca="1" si="4"/>
        <v>-9.37657116380059E-2</v>
      </c>
      <c r="Q29" s="1">
        <f t="shared" si="5"/>
        <v>13733.939999999999</v>
      </c>
      <c r="R29" s="1"/>
      <c r="S29" s="1"/>
      <c r="T29" s="1"/>
    </row>
    <row r="30" spans="1:21" x14ac:dyDescent="0.2">
      <c r="A30" s="55" t="s">
        <v>88</v>
      </c>
      <c r="B30" s="62" t="s">
        <v>43</v>
      </c>
      <c r="C30" s="58">
        <v>28805.405999999999</v>
      </c>
      <c r="D30" s="55" t="s">
        <v>52</v>
      </c>
      <c r="E30">
        <f t="shared" si="0"/>
        <v>-7214.0045958512683</v>
      </c>
      <c r="F30">
        <f t="shared" si="1"/>
        <v>-7214</v>
      </c>
      <c r="G30">
        <f t="shared" si="6"/>
        <v>-9.7320000022591557E-3</v>
      </c>
      <c r="H30" s="37">
        <f t="shared" si="7"/>
        <v>-9.7320000022591557E-3</v>
      </c>
      <c r="O30">
        <f t="shared" ca="1" si="4"/>
        <v>-9.3473778914951469E-2</v>
      </c>
      <c r="Q30" s="1">
        <f t="shared" si="5"/>
        <v>13786.905999999999</v>
      </c>
      <c r="R30" s="1"/>
      <c r="S30" s="1"/>
      <c r="T30" s="1"/>
    </row>
    <row r="31" spans="1:21" x14ac:dyDescent="0.2">
      <c r="A31" s="55" t="s">
        <v>88</v>
      </c>
      <c r="B31" s="62" t="s">
        <v>43</v>
      </c>
      <c r="C31" s="58">
        <v>28805.425999999999</v>
      </c>
      <c r="D31" s="55" t="s">
        <v>52</v>
      </c>
      <c r="E31">
        <f t="shared" si="0"/>
        <v>-7213.9951510274568</v>
      </c>
      <c r="F31">
        <f t="shared" si="1"/>
        <v>-7214</v>
      </c>
      <c r="G31">
        <f t="shared" si="6"/>
        <v>1.0267999998177402E-2</v>
      </c>
      <c r="H31" s="37">
        <f t="shared" si="7"/>
        <v>1.0267999998177402E-2</v>
      </c>
      <c r="O31">
        <f t="shared" ca="1" si="4"/>
        <v>-9.3473778914951469E-2</v>
      </c>
      <c r="Q31" s="1">
        <f t="shared" si="5"/>
        <v>13786.925999999999</v>
      </c>
      <c r="R31" s="1"/>
      <c r="S31" s="1"/>
      <c r="T31" s="1"/>
    </row>
    <row r="32" spans="1:21" x14ac:dyDescent="0.2">
      <c r="A32" s="55" t="s">
        <v>75</v>
      </c>
      <c r="B32" s="62" t="s">
        <v>43</v>
      </c>
      <c r="C32" s="58">
        <v>29127.33</v>
      </c>
      <c r="D32" s="58" t="s">
        <v>52</v>
      </c>
      <c r="E32">
        <f t="shared" si="0"/>
        <v>-7061.9788228160496</v>
      </c>
      <c r="F32">
        <f t="shared" si="1"/>
        <v>-7062</v>
      </c>
      <c r="G32">
        <f t="shared" si="6"/>
        <v>4.4844000000011874E-2</v>
      </c>
      <c r="H32" s="37">
        <f t="shared" si="7"/>
        <v>4.4844000000011874E-2</v>
      </c>
      <c r="O32">
        <f t="shared" ca="1" si="4"/>
        <v>-9.1698827958780538E-2</v>
      </c>
      <c r="Q32" s="1">
        <f t="shared" si="5"/>
        <v>14108.830000000002</v>
      </c>
      <c r="R32" s="1"/>
      <c r="S32" s="1"/>
      <c r="T32" s="1"/>
    </row>
    <row r="33" spans="1:20" x14ac:dyDescent="0.2">
      <c r="A33" s="55" t="s">
        <v>75</v>
      </c>
      <c r="B33" s="63" t="s">
        <v>43</v>
      </c>
      <c r="C33" s="60">
        <v>29165.43</v>
      </c>
      <c r="D33" s="60" t="s">
        <v>52</v>
      </c>
      <c r="E33">
        <f t="shared" si="0"/>
        <v>-7043.9864334550775</v>
      </c>
      <c r="F33">
        <f t="shared" si="1"/>
        <v>-7044</v>
      </c>
      <c r="G33">
        <f t="shared" si="6"/>
        <v>2.8727999997499865E-2</v>
      </c>
      <c r="H33" s="37">
        <f t="shared" si="7"/>
        <v>2.8727999997499865E-2</v>
      </c>
      <c r="O33">
        <f t="shared" ca="1" si="4"/>
        <v>-9.1488636398181347E-2</v>
      </c>
      <c r="Q33" s="1">
        <f t="shared" si="5"/>
        <v>14146.93</v>
      </c>
      <c r="R33" s="1"/>
      <c r="S33" s="1"/>
      <c r="T33" s="1"/>
    </row>
    <row r="34" spans="1:20" x14ac:dyDescent="0.2">
      <c r="A34" s="55" t="s">
        <v>75</v>
      </c>
      <c r="B34" s="63" t="s">
        <v>43</v>
      </c>
      <c r="C34" s="60">
        <v>29468.2</v>
      </c>
      <c r="D34" s="60" t="s">
        <v>52</v>
      </c>
      <c r="E34">
        <f t="shared" si="0"/>
        <v>-6901.0059681841667</v>
      </c>
      <c r="F34">
        <f t="shared" si="1"/>
        <v>-6901</v>
      </c>
      <c r="G34">
        <f t="shared" si="6"/>
        <v>-1.2638000003789784E-2</v>
      </c>
      <c r="H34" s="37">
        <f t="shared" si="7"/>
        <v>-1.2638000003789784E-2</v>
      </c>
      <c r="O34">
        <f t="shared" ca="1" si="4"/>
        <v>-8.9818781222310018E-2</v>
      </c>
      <c r="Q34" s="1">
        <f t="shared" si="5"/>
        <v>14449.7</v>
      </c>
      <c r="R34" s="1"/>
      <c r="S34" s="1"/>
      <c r="T34" s="1"/>
    </row>
    <row r="35" spans="1:20" x14ac:dyDescent="0.2">
      <c r="A35" s="55" t="s">
        <v>75</v>
      </c>
      <c r="B35" s="63" t="s">
        <v>43</v>
      </c>
      <c r="C35" s="60">
        <v>29726.52</v>
      </c>
      <c r="D35" s="60" t="s">
        <v>52</v>
      </c>
      <c r="E35">
        <f t="shared" si="0"/>
        <v>-6779.0166238343918</v>
      </c>
      <c r="F35">
        <f t="shared" si="1"/>
        <v>-6779</v>
      </c>
      <c r="G35">
        <f t="shared" si="6"/>
        <v>-3.5202000002755085E-2</v>
      </c>
      <c r="H35" s="37">
        <f t="shared" si="7"/>
        <v>-3.5202000002755085E-2</v>
      </c>
      <c r="O35">
        <f t="shared" ca="1" si="4"/>
        <v>-8.8394149533804395E-2</v>
      </c>
      <c r="Q35" s="1">
        <f t="shared" si="5"/>
        <v>14708.02</v>
      </c>
      <c r="R35" s="1"/>
      <c r="S35" s="1"/>
      <c r="T35" s="1"/>
    </row>
    <row r="36" spans="1:20" x14ac:dyDescent="0.2">
      <c r="A36" s="55" t="s">
        <v>123</v>
      </c>
      <c r="B36" s="63" t="s">
        <v>43</v>
      </c>
      <c r="C36" s="60">
        <v>32477.26</v>
      </c>
      <c r="D36" s="60" t="s">
        <v>52</v>
      </c>
      <c r="E36">
        <f t="shared" si="0"/>
        <v>-5480.0038912674117</v>
      </c>
      <c r="F36">
        <f t="shared" si="1"/>
        <v>-5480</v>
      </c>
      <c r="G36">
        <f t="shared" si="6"/>
        <v>-8.2400000028428622E-3</v>
      </c>
      <c r="H36" s="37">
        <f t="shared" si="7"/>
        <v>-8.2400000028428622E-3</v>
      </c>
      <c r="O36">
        <f t="shared" ca="1" si="4"/>
        <v>-7.322532524389623E-2</v>
      </c>
      <c r="Q36" s="1">
        <f t="shared" si="5"/>
        <v>17458.759999999998</v>
      </c>
      <c r="R36" s="1"/>
      <c r="S36" s="1"/>
      <c r="T36" s="1"/>
    </row>
    <row r="37" spans="1:20" x14ac:dyDescent="0.2">
      <c r="A37" s="55" t="s">
        <v>128</v>
      </c>
      <c r="B37" s="63" t="s">
        <v>43</v>
      </c>
      <c r="C37" s="60">
        <v>32794.896000000001</v>
      </c>
      <c r="D37" s="60" t="s">
        <v>52</v>
      </c>
      <c r="E37">
        <f t="shared" si="0"/>
        <v>-5330.0030884573871</v>
      </c>
      <c r="F37">
        <f t="shared" si="1"/>
        <v>-5330</v>
      </c>
      <c r="G37">
        <f t="shared" si="6"/>
        <v>-6.5400000021327287E-3</v>
      </c>
      <c r="H37" s="37">
        <f t="shared" si="7"/>
        <v>-6.5400000021327287E-3</v>
      </c>
      <c r="O37">
        <f t="shared" ca="1" si="4"/>
        <v>-7.1473728905569661E-2</v>
      </c>
      <c r="Q37" s="1">
        <f t="shared" si="5"/>
        <v>17776.396000000001</v>
      </c>
      <c r="R37" s="1"/>
      <c r="S37" s="1"/>
      <c r="T37" s="1"/>
    </row>
    <row r="38" spans="1:20" x14ac:dyDescent="0.2">
      <c r="A38" s="55" t="s">
        <v>123</v>
      </c>
      <c r="B38" s="63" t="s">
        <v>43</v>
      </c>
      <c r="C38" s="60">
        <v>32822.428</v>
      </c>
      <c r="D38" s="59" t="s">
        <v>52</v>
      </c>
      <c r="E38">
        <f t="shared" si="0"/>
        <v>-5317.0013439984295</v>
      </c>
      <c r="F38">
        <f t="shared" si="1"/>
        <v>-5317</v>
      </c>
      <c r="G38">
        <f t="shared" si="6"/>
        <v>-2.8460000030463561E-3</v>
      </c>
      <c r="H38" s="37">
        <f t="shared" si="7"/>
        <v>-2.8460000030463561E-3</v>
      </c>
      <c r="O38">
        <f t="shared" ca="1" si="4"/>
        <v>-7.1321923889581362E-2</v>
      </c>
      <c r="Q38" s="1">
        <f t="shared" si="5"/>
        <v>17803.928</v>
      </c>
      <c r="R38" s="1"/>
      <c r="S38" s="1"/>
      <c r="T38" s="1"/>
    </row>
    <row r="39" spans="1:20" x14ac:dyDescent="0.2">
      <c r="A39" s="55" t="s">
        <v>123</v>
      </c>
      <c r="B39" s="63" t="s">
        <v>43</v>
      </c>
      <c r="C39" s="60">
        <v>32907.120000000003</v>
      </c>
      <c r="D39" s="59" t="s">
        <v>52</v>
      </c>
      <c r="E39">
        <f t="shared" si="0"/>
        <v>-5277.006293086105</v>
      </c>
      <c r="F39">
        <f t="shared" si="1"/>
        <v>-5277</v>
      </c>
      <c r="G39">
        <f t="shared" si="6"/>
        <v>-1.3326000000233762E-2</v>
      </c>
      <c r="H39" s="37">
        <f t="shared" si="7"/>
        <v>-1.3326000000233762E-2</v>
      </c>
      <c r="O39">
        <f t="shared" ca="1" si="4"/>
        <v>-7.0854831532694271E-2</v>
      </c>
      <c r="Q39" s="1">
        <f t="shared" si="5"/>
        <v>17888.620000000003</v>
      </c>
      <c r="R39" s="1"/>
      <c r="S39" s="1"/>
      <c r="T39" s="1"/>
    </row>
    <row r="40" spans="1:20" x14ac:dyDescent="0.2">
      <c r="A40" s="59" t="s">
        <v>128</v>
      </c>
      <c r="B40" s="63" t="s">
        <v>43</v>
      </c>
      <c r="C40" s="60">
        <v>33061.728000000003</v>
      </c>
      <c r="D40" s="59" t="s">
        <v>52</v>
      </c>
      <c r="E40">
        <f t="shared" si="0"/>
        <v>-5203.9940270934212</v>
      </c>
      <c r="F40">
        <f t="shared" si="1"/>
        <v>-5204</v>
      </c>
      <c r="G40">
        <f t="shared" si="6"/>
        <v>1.2648000003537163E-2</v>
      </c>
      <c r="H40" s="37">
        <f t="shared" si="7"/>
        <v>1.2648000003537163E-2</v>
      </c>
      <c r="O40">
        <f t="shared" ca="1" si="4"/>
        <v>-7.0002387981375341E-2</v>
      </c>
      <c r="Q40" s="1">
        <f t="shared" si="5"/>
        <v>18043.228000000003</v>
      </c>
      <c r="R40" s="1"/>
      <c r="S40" s="1"/>
      <c r="T40" s="1"/>
    </row>
    <row r="41" spans="1:20" x14ac:dyDescent="0.2">
      <c r="A41" s="61" t="s">
        <v>128</v>
      </c>
      <c r="B41" s="62" t="s">
        <v>43</v>
      </c>
      <c r="C41" s="58">
        <v>33205.713000000003</v>
      </c>
      <c r="D41" s="58" t="s">
        <v>52</v>
      </c>
      <c r="E41">
        <f t="shared" si="0"/>
        <v>-5135.9983792682333</v>
      </c>
      <c r="F41">
        <f t="shared" si="1"/>
        <v>-5136</v>
      </c>
      <c r="G41">
        <f t="shared" si="6"/>
        <v>3.4319999977014959E-3</v>
      </c>
      <c r="H41" s="37">
        <f t="shared" si="7"/>
        <v>3.4319999977014959E-3</v>
      </c>
      <c r="O41">
        <f t="shared" ca="1" si="4"/>
        <v>-6.9208330974667276E-2</v>
      </c>
      <c r="Q41" s="1">
        <f t="shared" si="5"/>
        <v>18187.213000000003</v>
      </c>
      <c r="R41" s="1"/>
      <c r="S41" s="1"/>
      <c r="T41" s="1"/>
    </row>
    <row r="42" spans="1:20" x14ac:dyDescent="0.2">
      <c r="A42" s="61" t="s">
        <v>128</v>
      </c>
      <c r="B42" s="63" t="s">
        <v>43</v>
      </c>
      <c r="C42" s="60">
        <v>33273.442999999999</v>
      </c>
      <c r="D42" s="60" t="s">
        <v>52</v>
      </c>
      <c r="E42">
        <f t="shared" si="0"/>
        <v>-5104.0134834304745</v>
      </c>
      <c r="F42">
        <f t="shared" si="1"/>
        <v>-5104</v>
      </c>
      <c r="G42">
        <f t="shared" si="6"/>
        <v>-2.855200000340119E-2</v>
      </c>
      <c r="H42" s="37">
        <f t="shared" si="7"/>
        <v>-2.855200000340119E-2</v>
      </c>
      <c r="O42">
        <f t="shared" ca="1" si="4"/>
        <v>-6.8834657089157619E-2</v>
      </c>
      <c r="Q42" s="1">
        <f t="shared" si="5"/>
        <v>18254.942999999999</v>
      </c>
      <c r="R42" s="1"/>
      <c r="S42" s="1"/>
      <c r="T42" s="1"/>
    </row>
    <row r="43" spans="1:20" x14ac:dyDescent="0.2">
      <c r="A43" s="55" t="s">
        <v>128</v>
      </c>
      <c r="B43" s="62" t="s">
        <v>43</v>
      </c>
      <c r="C43" s="58">
        <v>33476.743000000002</v>
      </c>
      <c r="D43" s="55" t="s">
        <v>52</v>
      </c>
      <c r="E43">
        <f t="shared" si="0"/>
        <v>-5008.0068493862282</v>
      </c>
      <c r="F43">
        <f t="shared" si="1"/>
        <v>-5008</v>
      </c>
      <c r="G43">
        <f t="shared" si="6"/>
        <v>-1.4503999998851214E-2</v>
      </c>
      <c r="H43" s="37">
        <f t="shared" si="7"/>
        <v>-1.4503999998851214E-2</v>
      </c>
      <c r="O43">
        <f t="shared" ca="1" si="4"/>
        <v>-6.7713635432628608E-2</v>
      </c>
      <c r="Q43" s="1">
        <f t="shared" si="5"/>
        <v>18458.243000000002</v>
      </c>
      <c r="R43" s="1"/>
      <c r="S43" s="1"/>
      <c r="T43" s="1"/>
    </row>
    <row r="44" spans="1:20" x14ac:dyDescent="0.2">
      <c r="A44" s="55" t="s">
        <v>123</v>
      </c>
      <c r="B44" s="62" t="s">
        <v>43</v>
      </c>
      <c r="C44" s="58">
        <v>33506.415000000001</v>
      </c>
      <c r="D44" s="55" t="s">
        <v>52</v>
      </c>
      <c r="E44">
        <f t="shared" si="0"/>
        <v>-4993.9945087794367</v>
      </c>
      <c r="F44">
        <f t="shared" si="1"/>
        <v>-4994</v>
      </c>
      <c r="G44">
        <f t="shared" si="6"/>
        <v>1.16280000002007E-2</v>
      </c>
      <c r="H44" s="37">
        <f t="shared" si="7"/>
        <v>1.16280000002007E-2</v>
      </c>
      <c r="O44">
        <f t="shared" ca="1" si="4"/>
        <v>-6.7550153107718114E-2</v>
      </c>
      <c r="Q44" s="1">
        <f t="shared" si="5"/>
        <v>18487.915000000001</v>
      </c>
      <c r="R44" s="1"/>
      <c r="S44" s="1"/>
      <c r="T44" s="1"/>
    </row>
    <row r="45" spans="1:20" x14ac:dyDescent="0.2">
      <c r="A45" s="55" t="s">
        <v>151</v>
      </c>
      <c r="B45" s="62" t="s">
        <v>43</v>
      </c>
      <c r="C45" s="58">
        <v>33540.326000000001</v>
      </c>
      <c r="D45" s="55" t="s">
        <v>52</v>
      </c>
      <c r="E45">
        <f t="shared" si="0"/>
        <v>-4977.98033776579</v>
      </c>
      <c r="F45">
        <f t="shared" si="1"/>
        <v>-4978</v>
      </c>
      <c r="G45">
        <f t="shared" si="6"/>
        <v>4.1636000001744833E-2</v>
      </c>
      <c r="H45" s="37">
        <f t="shared" si="7"/>
        <v>4.1636000001744833E-2</v>
      </c>
      <c r="O45">
        <f t="shared" ca="1" si="4"/>
        <v>-6.7363316164963299E-2</v>
      </c>
      <c r="Q45" s="1">
        <f t="shared" si="5"/>
        <v>18521.826000000001</v>
      </c>
      <c r="R45" s="1"/>
      <c r="S45" s="1"/>
      <c r="T45" s="1"/>
    </row>
    <row r="46" spans="1:20" x14ac:dyDescent="0.2">
      <c r="A46" s="55" t="s">
        <v>123</v>
      </c>
      <c r="B46" s="62" t="s">
        <v>43</v>
      </c>
      <c r="C46" s="58">
        <v>33542.402000000002</v>
      </c>
      <c r="D46" s="55" t="s">
        <v>52</v>
      </c>
      <c r="E46">
        <f t="shared" si="0"/>
        <v>-4976.9999650541522</v>
      </c>
      <c r="F46">
        <f t="shared" si="1"/>
        <v>-4977</v>
      </c>
      <c r="G46">
        <f t="shared" si="6"/>
        <v>7.3999995947815478E-5</v>
      </c>
      <c r="H46" s="37">
        <f t="shared" si="7"/>
        <v>7.3999995947815478E-5</v>
      </c>
      <c r="O46">
        <f t="shared" ca="1" si="4"/>
        <v>-6.7351638856041118E-2</v>
      </c>
      <c r="Q46" s="1">
        <f t="shared" si="5"/>
        <v>18523.902000000002</v>
      </c>
      <c r="R46" s="1"/>
      <c r="S46" s="1"/>
      <c r="T46" s="1"/>
    </row>
    <row r="47" spans="1:20" x14ac:dyDescent="0.2">
      <c r="A47" s="55" t="s">
        <v>128</v>
      </c>
      <c r="B47" s="62" t="s">
        <v>43</v>
      </c>
      <c r="C47" s="58">
        <v>33618.629000000001</v>
      </c>
      <c r="D47" s="55" t="s">
        <v>52</v>
      </c>
      <c r="E47">
        <f t="shared" si="0"/>
        <v>-4941.0024358200617</v>
      </c>
      <c r="F47">
        <f t="shared" si="1"/>
        <v>-4941</v>
      </c>
      <c r="G47">
        <f t="shared" si="6"/>
        <v>-5.1579999999376014E-3</v>
      </c>
      <c r="H47" s="37">
        <f t="shared" si="7"/>
        <v>-5.1579999999376014E-3</v>
      </c>
      <c r="O47">
        <f t="shared" ca="1" si="4"/>
        <v>-6.6931255734842737E-2</v>
      </c>
      <c r="Q47" s="1">
        <f t="shared" si="5"/>
        <v>18600.129000000001</v>
      </c>
      <c r="R47" s="1"/>
      <c r="S47" s="1"/>
      <c r="T47" s="1"/>
    </row>
    <row r="48" spans="1:20" x14ac:dyDescent="0.2">
      <c r="A48" s="55" t="s">
        <v>151</v>
      </c>
      <c r="B48" s="62" t="s">
        <v>43</v>
      </c>
      <c r="C48" s="58">
        <v>33830.425999999999</v>
      </c>
      <c r="D48" s="55" t="s">
        <v>52</v>
      </c>
      <c r="E48">
        <f t="shared" si="0"/>
        <v>-4840.9831683794864</v>
      </c>
      <c r="F48">
        <f t="shared" si="1"/>
        <v>-4841</v>
      </c>
      <c r="G48">
        <f t="shared" si="6"/>
        <v>3.5641999995277729E-2</v>
      </c>
      <c r="H48" s="37">
        <f t="shared" si="7"/>
        <v>3.5641999995277729E-2</v>
      </c>
      <c r="O48">
        <f t="shared" ca="1" si="4"/>
        <v>-6.5763524842625015E-2</v>
      </c>
      <c r="Q48" s="1">
        <f t="shared" si="5"/>
        <v>18811.925999999999</v>
      </c>
      <c r="R48" s="1"/>
      <c r="S48" s="1"/>
      <c r="T48" s="1"/>
    </row>
    <row r="49" spans="1:20" x14ac:dyDescent="0.2">
      <c r="A49" s="55" t="s">
        <v>128</v>
      </c>
      <c r="B49" s="62" t="s">
        <v>43</v>
      </c>
      <c r="C49" s="58">
        <v>33836.739000000001</v>
      </c>
      <c r="D49" s="55" t="s">
        <v>52</v>
      </c>
      <c r="E49">
        <f t="shared" si="0"/>
        <v>-4838.0019097433751</v>
      </c>
      <c r="F49">
        <f t="shared" si="1"/>
        <v>-4838</v>
      </c>
      <c r="G49">
        <f t="shared" si="6"/>
        <v>-4.0440000011585653E-3</v>
      </c>
      <c r="H49" s="37">
        <f t="shared" si="7"/>
        <v>-4.0440000011585653E-3</v>
      </c>
      <c r="O49">
        <f t="shared" ca="1" si="4"/>
        <v>-6.5728492915858486E-2</v>
      </c>
      <c r="Q49" s="1">
        <f t="shared" si="5"/>
        <v>18818.239000000001</v>
      </c>
      <c r="R49" s="1"/>
      <c r="S49" s="1"/>
      <c r="T49" s="1"/>
    </row>
    <row r="50" spans="1:20" x14ac:dyDescent="0.2">
      <c r="A50" s="55" t="s">
        <v>128</v>
      </c>
      <c r="B50" s="62" t="s">
        <v>43</v>
      </c>
      <c r="C50" s="58">
        <v>33927.785000000003</v>
      </c>
      <c r="D50" s="55" t="s">
        <v>52</v>
      </c>
      <c r="E50">
        <f t="shared" si="0"/>
        <v>-4795.0062383061268</v>
      </c>
      <c r="F50">
        <f t="shared" si="1"/>
        <v>-4795</v>
      </c>
      <c r="G50">
        <f t="shared" si="6"/>
        <v>-1.3209999997343402E-2</v>
      </c>
      <c r="H50" s="37">
        <f t="shared" si="7"/>
        <v>-1.3209999997343402E-2</v>
      </c>
      <c r="O50">
        <f t="shared" ca="1" si="4"/>
        <v>-6.5226368632204865E-2</v>
      </c>
      <c r="Q50" s="1">
        <f t="shared" si="5"/>
        <v>18909.285000000003</v>
      </c>
      <c r="R50" s="1"/>
      <c r="S50" s="1"/>
      <c r="T50" s="1"/>
    </row>
    <row r="51" spans="1:20" x14ac:dyDescent="0.2">
      <c r="A51" s="55" t="s">
        <v>123</v>
      </c>
      <c r="B51" s="62" t="s">
        <v>43</v>
      </c>
      <c r="C51" s="58">
        <v>34122.605000000003</v>
      </c>
      <c r="D51" s="55" t="s">
        <v>52</v>
      </c>
      <c r="E51">
        <f t="shared" si="0"/>
        <v>-4703.004209557972</v>
      </c>
      <c r="F51">
        <f t="shared" si="1"/>
        <v>-4703</v>
      </c>
      <c r="G51">
        <f t="shared" si="6"/>
        <v>-8.913999998185318E-3</v>
      </c>
      <c r="H51" s="37">
        <f t="shared" si="7"/>
        <v>-8.913999998185318E-3</v>
      </c>
      <c r="O51">
        <f t="shared" ca="1" si="4"/>
        <v>-6.4152056211364564E-2</v>
      </c>
      <c r="Q51" s="1">
        <f t="shared" si="5"/>
        <v>19104.105000000003</v>
      </c>
      <c r="R51" s="1"/>
      <c r="S51" s="1"/>
      <c r="T51" s="1"/>
    </row>
    <row r="52" spans="1:20" x14ac:dyDescent="0.2">
      <c r="A52" s="55" t="s">
        <v>128</v>
      </c>
      <c r="B52" s="62" t="s">
        <v>43</v>
      </c>
      <c r="C52" s="58">
        <v>34128.930999999997</v>
      </c>
      <c r="D52" s="55" t="s">
        <v>52</v>
      </c>
      <c r="E52">
        <f t="shared" si="0"/>
        <v>-4700.0168117863868</v>
      </c>
      <c r="F52">
        <f t="shared" si="1"/>
        <v>-4700</v>
      </c>
      <c r="G52">
        <f t="shared" si="6"/>
        <v>-3.56000000028871E-2</v>
      </c>
      <c r="H52" s="37">
        <f t="shared" si="7"/>
        <v>-3.56000000028871E-2</v>
      </c>
      <c r="O52">
        <f t="shared" ca="1" si="4"/>
        <v>-6.4117024284598034E-2</v>
      </c>
      <c r="Q52" s="1">
        <f t="shared" si="5"/>
        <v>19110.430999999997</v>
      </c>
      <c r="R52" s="1"/>
      <c r="S52" s="1"/>
      <c r="T52" s="1"/>
    </row>
    <row r="53" spans="1:20" x14ac:dyDescent="0.2">
      <c r="A53" s="55" t="s">
        <v>128</v>
      </c>
      <c r="B53" s="62" t="s">
        <v>43</v>
      </c>
      <c r="C53" s="58">
        <v>34162.847999999998</v>
      </c>
      <c r="D53" s="55" t="s">
        <v>52</v>
      </c>
      <c r="E53">
        <f t="shared" ref="E53:E78" si="8">+(C53-C$7)/C$8</f>
        <v>-4683.9998073255956</v>
      </c>
      <c r="F53">
        <f t="shared" ref="F53:F78" si="9">ROUND(2*E53,0)/2</f>
        <v>-4684</v>
      </c>
      <c r="G53">
        <f t="shared" si="6"/>
        <v>4.0799999260343611E-4</v>
      </c>
      <c r="H53" s="37">
        <f t="shared" si="7"/>
        <v>4.0799999260343611E-4</v>
      </c>
      <c r="O53">
        <f t="shared" ref="O53:O78" ca="1" si="10">+C$11+C$12*$F53</f>
        <v>-6.3930187341843192E-2</v>
      </c>
      <c r="Q53" s="1">
        <f t="shared" ref="Q53:Q78" si="11">+C53-15018.5</f>
        <v>19144.347999999998</v>
      </c>
      <c r="R53" s="1"/>
      <c r="S53" s="1"/>
      <c r="T53" s="1"/>
    </row>
    <row r="54" spans="1:20" x14ac:dyDescent="0.2">
      <c r="A54" s="55" t="s">
        <v>128</v>
      </c>
      <c r="B54" s="62" t="s">
        <v>43</v>
      </c>
      <c r="C54" s="58">
        <v>34215.773000000001</v>
      </c>
      <c r="D54" s="55" t="s">
        <v>52</v>
      </c>
      <c r="E54">
        <f t="shared" si="8"/>
        <v>-4659.0064423143222</v>
      </c>
      <c r="F54">
        <f t="shared" si="9"/>
        <v>-4659</v>
      </c>
      <c r="G54">
        <f t="shared" si="6"/>
        <v>-1.3642000005347654E-2</v>
      </c>
      <c r="H54" s="37">
        <f t="shared" si="7"/>
        <v>-1.3642000005347654E-2</v>
      </c>
      <c r="O54">
        <f t="shared" ca="1" si="10"/>
        <v>-6.3638254618788775E-2</v>
      </c>
      <c r="Q54" s="1">
        <f t="shared" si="11"/>
        <v>19197.273000000001</v>
      </c>
      <c r="R54" s="1"/>
      <c r="S54" s="1"/>
      <c r="T54" s="1"/>
    </row>
    <row r="55" spans="1:20" x14ac:dyDescent="0.2">
      <c r="A55" s="55" t="s">
        <v>128</v>
      </c>
      <c r="B55" s="62" t="s">
        <v>43</v>
      </c>
      <c r="C55" s="58">
        <v>34336.498</v>
      </c>
      <c r="D55" s="55" t="s">
        <v>52</v>
      </c>
      <c r="E55">
        <f t="shared" si="8"/>
        <v>-4601.9951245819493</v>
      </c>
      <c r="F55">
        <f t="shared" si="9"/>
        <v>-4602</v>
      </c>
      <c r="G55">
        <f t="shared" si="6"/>
        <v>1.0323999995307531E-2</v>
      </c>
      <c r="H55" s="37">
        <f t="shared" si="7"/>
        <v>1.0323999995307531E-2</v>
      </c>
      <c r="O55">
        <f t="shared" ca="1" si="10"/>
        <v>-6.2972648010224674E-2</v>
      </c>
      <c r="Q55" s="1">
        <f t="shared" si="11"/>
        <v>19317.998</v>
      </c>
      <c r="R55" s="1"/>
      <c r="S55" s="1"/>
      <c r="T55" s="1"/>
    </row>
    <row r="56" spans="1:20" x14ac:dyDescent="0.2">
      <c r="A56" s="55" t="s">
        <v>123</v>
      </c>
      <c r="B56" s="62" t="s">
        <v>43</v>
      </c>
      <c r="C56" s="58">
        <v>34622.35</v>
      </c>
      <c r="D56" s="55" t="s">
        <v>52</v>
      </c>
      <c r="E56">
        <f t="shared" si="8"/>
        <v>-4467.0040357732159</v>
      </c>
      <c r="F56">
        <f t="shared" si="9"/>
        <v>-4467</v>
      </c>
      <c r="G56">
        <f t="shared" si="6"/>
        <v>-8.5460000045713969E-3</v>
      </c>
      <c r="H56" s="37">
        <f t="shared" si="7"/>
        <v>-8.5460000045713969E-3</v>
      </c>
      <c r="O56">
        <f t="shared" ca="1" si="10"/>
        <v>-6.1396211305730745E-2</v>
      </c>
      <c r="Q56" s="1">
        <f t="shared" si="11"/>
        <v>19603.849999999999</v>
      </c>
      <c r="R56" s="1"/>
      <c r="S56" s="1"/>
      <c r="T56" s="1"/>
    </row>
    <row r="57" spans="1:20" x14ac:dyDescent="0.2">
      <c r="A57" s="55" t="s">
        <v>123</v>
      </c>
      <c r="B57" s="62" t="s">
        <v>36</v>
      </c>
      <c r="C57" s="58">
        <v>34962.324999999997</v>
      </c>
      <c r="D57" s="55" t="s">
        <v>52</v>
      </c>
      <c r="E57">
        <f t="shared" si="8"/>
        <v>-4306.4538370068994</v>
      </c>
      <c r="F57">
        <f t="shared" si="9"/>
        <v>-4306.5</v>
      </c>
      <c r="G57">
        <f t="shared" si="6"/>
        <v>9.7752999994554557E-2</v>
      </c>
      <c r="H57" s="37">
        <f t="shared" si="7"/>
        <v>9.7752999994554557E-2</v>
      </c>
      <c r="O57">
        <f t="shared" ca="1" si="10"/>
        <v>-5.9522003223721309E-2</v>
      </c>
      <c r="Q57" s="1">
        <f t="shared" si="11"/>
        <v>19943.824999999997</v>
      </c>
      <c r="R57" s="1"/>
      <c r="S57" s="1"/>
      <c r="T57" s="1"/>
    </row>
    <row r="58" spans="1:20" x14ac:dyDescent="0.2">
      <c r="A58" s="55" t="s">
        <v>123</v>
      </c>
      <c r="B58" s="62" t="s">
        <v>43</v>
      </c>
      <c r="C58" s="58">
        <v>35020.464999999997</v>
      </c>
      <c r="D58" s="55" t="s">
        <v>52</v>
      </c>
      <c r="E58">
        <f t="shared" si="8"/>
        <v>-4278.9977341867698</v>
      </c>
      <c r="F58">
        <f t="shared" si="9"/>
        <v>-4279</v>
      </c>
      <c r="G58">
        <f t="shared" si="6"/>
        <v>4.7979999944800511E-3</v>
      </c>
      <c r="H58" s="37">
        <f t="shared" si="7"/>
        <v>4.7979999944800511E-3</v>
      </c>
      <c r="O58">
        <f t="shared" ca="1" si="10"/>
        <v>-5.920087722836144E-2</v>
      </c>
      <c r="Q58" s="1">
        <f t="shared" si="11"/>
        <v>20001.964999999997</v>
      </c>
      <c r="R58" s="1"/>
      <c r="S58" s="1"/>
      <c r="T58" s="1"/>
    </row>
    <row r="59" spans="1:20" x14ac:dyDescent="0.2">
      <c r="A59" s="55" t="s">
        <v>123</v>
      </c>
      <c r="B59" s="62" t="s">
        <v>43</v>
      </c>
      <c r="C59" s="58">
        <v>35090.345000000001</v>
      </c>
      <c r="D59" s="55" t="s">
        <v>52</v>
      </c>
      <c r="E59">
        <f t="shared" si="8"/>
        <v>-4245.9975197892672</v>
      </c>
      <c r="F59">
        <f t="shared" si="9"/>
        <v>-4246</v>
      </c>
      <c r="G59">
        <f t="shared" si="6"/>
        <v>5.252000002656132E-3</v>
      </c>
      <c r="H59" s="37">
        <f t="shared" si="7"/>
        <v>5.252000002656132E-3</v>
      </c>
      <c r="O59">
        <f t="shared" ca="1" si="10"/>
        <v>-5.8815526033929588E-2</v>
      </c>
      <c r="Q59" s="1">
        <f t="shared" si="11"/>
        <v>20071.845000000001</v>
      </c>
      <c r="R59" s="1"/>
      <c r="S59" s="1"/>
      <c r="T59" s="1"/>
    </row>
    <row r="60" spans="1:20" x14ac:dyDescent="0.2">
      <c r="A60" s="55" t="s">
        <v>123</v>
      </c>
      <c r="B60" s="62" t="s">
        <v>43</v>
      </c>
      <c r="C60" s="58">
        <v>35185.64</v>
      </c>
      <c r="D60" s="55" t="s">
        <v>52</v>
      </c>
      <c r="E60">
        <f t="shared" si="8"/>
        <v>-4200.995295533261</v>
      </c>
      <c r="F60">
        <f t="shared" si="9"/>
        <v>-4201</v>
      </c>
      <c r="G60">
        <f t="shared" ref="G60:G76" si="12">C60-($C$7+$C$8*$F60)</f>
        <v>9.961999996448867E-3</v>
      </c>
      <c r="H60" s="37">
        <f t="shared" si="7"/>
        <v>9.961999996448867E-3</v>
      </c>
      <c r="O60">
        <f t="shared" ca="1" si="10"/>
        <v>-5.8290047132431619E-2</v>
      </c>
      <c r="Q60" s="1">
        <f t="shared" si="11"/>
        <v>20167.14</v>
      </c>
      <c r="R60" s="1"/>
      <c r="S60" s="1"/>
      <c r="T60" s="1"/>
    </row>
    <row r="61" spans="1:20" x14ac:dyDescent="0.2">
      <c r="A61" s="55" t="s">
        <v>123</v>
      </c>
      <c r="B61" s="62" t="s">
        <v>43</v>
      </c>
      <c r="C61" s="58">
        <v>35310.552000000003</v>
      </c>
      <c r="D61" s="55" t="s">
        <v>52</v>
      </c>
      <c r="E61">
        <f t="shared" si="8"/>
        <v>-4142.006703935941</v>
      </c>
      <c r="F61">
        <f t="shared" si="9"/>
        <v>-4142</v>
      </c>
      <c r="G61">
        <f t="shared" si="12"/>
        <v>-1.4195999996445607E-2</v>
      </c>
      <c r="H61" s="37">
        <f t="shared" si="7"/>
        <v>-1.4195999996445607E-2</v>
      </c>
      <c r="O61">
        <f t="shared" ca="1" si="10"/>
        <v>-5.7601085906023163E-2</v>
      </c>
      <c r="Q61" s="1">
        <f t="shared" si="11"/>
        <v>20292.052000000003</v>
      </c>
      <c r="R61" s="1"/>
      <c r="S61" s="1"/>
      <c r="T61" s="1"/>
    </row>
    <row r="62" spans="1:20" x14ac:dyDescent="0.2">
      <c r="A62" s="55" t="s">
        <v>151</v>
      </c>
      <c r="B62" s="62" t="s">
        <v>43</v>
      </c>
      <c r="C62" s="58">
        <v>35342.351000000002</v>
      </c>
      <c r="D62" s="55" t="s">
        <v>52</v>
      </c>
      <c r="E62">
        <f t="shared" si="8"/>
        <v>-4126.9899063167923</v>
      </c>
      <c r="F62">
        <f t="shared" si="9"/>
        <v>-4127</v>
      </c>
      <c r="G62">
        <f t="shared" si="12"/>
        <v>2.137399999628542E-2</v>
      </c>
      <c r="H62" s="37">
        <f t="shared" si="7"/>
        <v>2.137399999628542E-2</v>
      </c>
      <c r="O62">
        <f t="shared" ca="1" si="10"/>
        <v>-5.7425926272190501E-2</v>
      </c>
      <c r="Q62" s="1">
        <f t="shared" si="11"/>
        <v>20323.851000000002</v>
      </c>
      <c r="R62" s="1"/>
      <c r="S62" s="1"/>
      <c r="T62" s="1"/>
    </row>
    <row r="63" spans="1:20" x14ac:dyDescent="0.2">
      <c r="A63" s="55" t="s">
        <v>151</v>
      </c>
      <c r="B63" s="62" t="s">
        <v>43</v>
      </c>
      <c r="C63" s="58">
        <v>35395.305999999997</v>
      </c>
      <c r="D63" s="55" t="s">
        <v>52</v>
      </c>
      <c r="E63">
        <f t="shared" si="8"/>
        <v>-4101.9823740698057</v>
      </c>
      <c r="F63">
        <f t="shared" si="9"/>
        <v>-4102</v>
      </c>
      <c r="G63">
        <f t="shared" si="12"/>
        <v>3.7323999997170176E-2</v>
      </c>
      <c r="H63" s="37">
        <f t="shared" si="7"/>
        <v>3.7323999997170176E-2</v>
      </c>
      <c r="O63">
        <f t="shared" ca="1" si="10"/>
        <v>-5.7133993549136078E-2</v>
      </c>
      <c r="Q63" s="1">
        <f t="shared" si="11"/>
        <v>20376.805999999997</v>
      </c>
      <c r="R63" s="1"/>
      <c r="S63" s="1"/>
      <c r="T63" s="1"/>
    </row>
    <row r="64" spans="1:20" x14ac:dyDescent="0.2">
      <c r="A64" s="55" t="s">
        <v>123</v>
      </c>
      <c r="B64" s="62" t="s">
        <v>43</v>
      </c>
      <c r="C64" s="58">
        <v>35399.498</v>
      </c>
      <c r="D64" s="55" t="s">
        <v>52</v>
      </c>
      <c r="E64">
        <f t="shared" si="8"/>
        <v>-4100.0027389989064</v>
      </c>
      <c r="F64">
        <f t="shared" si="9"/>
        <v>-4100</v>
      </c>
      <c r="G64">
        <f t="shared" si="12"/>
        <v>-5.8000000062747858E-3</v>
      </c>
      <c r="H64" s="37">
        <f t="shared" si="7"/>
        <v>-5.8000000062747858E-3</v>
      </c>
      <c r="O64">
        <f t="shared" ca="1" si="10"/>
        <v>-5.7110638931291723E-2</v>
      </c>
      <c r="Q64" s="1">
        <f t="shared" si="11"/>
        <v>20380.998</v>
      </c>
      <c r="R64" s="1"/>
      <c r="S64" s="1"/>
      <c r="T64" s="1"/>
    </row>
    <row r="65" spans="1:21" x14ac:dyDescent="0.2">
      <c r="A65" s="55" t="s">
        <v>123</v>
      </c>
      <c r="B65" s="62" t="s">
        <v>43</v>
      </c>
      <c r="C65" s="58">
        <v>35429.135000000002</v>
      </c>
      <c r="D65" s="55" t="s">
        <v>52</v>
      </c>
      <c r="E65">
        <f t="shared" si="8"/>
        <v>-4086.0069268337834</v>
      </c>
      <c r="F65">
        <f t="shared" si="9"/>
        <v>-4086</v>
      </c>
      <c r="G65">
        <f t="shared" si="12"/>
        <v>-1.4667999996163417E-2</v>
      </c>
      <c r="H65" s="37">
        <f t="shared" si="7"/>
        <v>-1.4667999996163417E-2</v>
      </c>
      <c r="O65">
        <f t="shared" ca="1" si="10"/>
        <v>-5.6947156606381243E-2</v>
      </c>
      <c r="Q65" s="1">
        <f t="shared" si="11"/>
        <v>20410.635000000002</v>
      </c>
      <c r="R65" s="1"/>
      <c r="S65" s="1"/>
      <c r="T65" s="1"/>
    </row>
    <row r="66" spans="1:21" x14ac:dyDescent="0.2">
      <c r="A66" s="55" t="s">
        <v>123</v>
      </c>
      <c r="B66" s="62" t="s">
        <v>43</v>
      </c>
      <c r="C66" s="58">
        <v>36818.267</v>
      </c>
      <c r="D66" s="55" t="s">
        <v>52</v>
      </c>
      <c r="E66">
        <f t="shared" si="8"/>
        <v>-3430.0015772855777</v>
      </c>
      <c r="F66">
        <f t="shared" si="9"/>
        <v>-3430</v>
      </c>
      <c r="G66">
        <f t="shared" si="12"/>
        <v>-3.3400000029359944E-3</v>
      </c>
      <c r="H66" s="37">
        <f t="shared" si="7"/>
        <v>-3.3400000029359944E-3</v>
      </c>
      <c r="O66">
        <f t="shared" ca="1" si="10"/>
        <v>-4.9286841953433004E-2</v>
      </c>
      <c r="Q66" s="1">
        <f t="shared" si="11"/>
        <v>21799.767</v>
      </c>
      <c r="R66" s="1"/>
      <c r="S66" s="1"/>
      <c r="T66" s="1"/>
    </row>
    <row r="67" spans="1:21" x14ac:dyDescent="0.2">
      <c r="A67" s="55" t="s">
        <v>123</v>
      </c>
      <c r="B67" s="62" t="s">
        <v>43</v>
      </c>
      <c r="C67" s="58">
        <v>36820.410000000003</v>
      </c>
      <c r="D67" s="55" t="s">
        <v>52</v>
      </c>
      <c r="E67">
        <f t="shared" si="8"/>
        <v>-3428.9895644141698</v>
      </c>
      <c r="F67">
        <f t="shared" si="9"/>
        <v>-3429</v>
      </c>
      <c r="G67">
        <f t="shared" si="12"/>
        <v>2.2098000001278706E-2</v>
      </c>
      <c r="H67" s="37">
        <f t="shared" si="7"/>
        <v>2.2098000001278706E-2</v>
      </c>
      <c r="O67">
        <f t="shared" ca="1" si="10"/>
        <v>-4.927516464451083E-2</v>
      </c>
      <c r="Q67" s="1">
        <f t="shared" si="11"/>
        <v>21801.910000000003</v>
      </c>
      <c r="R67" s="1"/>
      <c r="S67" s="1"/>
      <c r="T67" s="1"/>
    </row>
    <row r="68" spans="1:21" x14ac:dyDescent="0.2">
      <c r="A68" s="55" t="s">
        <v>123</v>
      </c>
      <c r="B68" s="62" t="s">
        <v>43</v>
      </c>
      <c r="C68" s="58">
        <v>36822.498</v>
      </c>
      <c r="D68" s="55" t="s">
        <v>52</v>
      </c>
      <c r="E68">
        <f t="shared" si="8"/>
        <v>-3428.0035248082477</v>
      </c>
      <c r="F68">
        <f t="shared" si="9"/>
        <v>-3428</v>
      </c>
      <c r="G68">
        <f t="shared" si="12"/>
        <v>-7.4640000020735897E-3</v>
      </c>
      <c r="H68" s="37">
        <f t="shared" si="7"/>
        <v>-7.4640000020735897E-3</v>
      </c>
      <c r="O68">
        <f t="shared" ca="1" si="10"/>
        <v>-4.9263487335588656E-2</v>
      </c>
      <c r="Q68" s="1">
        <f t="shared" si="11"/>
        <v>21803.998</v>
      </c>
      <c r="R68" s="1"/>
      <c r="S68" s="1"/>
      <c r="T68" s="1"/>
    </row>
    <row r="69" spans="1:21" x14ac:dyDescent="0.2">
      <c r="A69" s="55" t="s">
        <v>213</v>
      </c>
      <c r="B69" s="62" t="s">
        <v>43</v>
      </c>
      <c r="C69" s="58">
        <v>37146.476999999999</v>
      </c>
      <c r="D69" s="55" t="s">
        <v>52</v>
      </c>
      <c r="E69">
        <f t="shared" si="8"/>
        <v>-3275.0072961263959</v>
      </c>
      <c r="F69">
        <f t="shared" si="9"/>
        <v>-3275</v>
      </c>
      <c r="G69">
        <f t="shared" si="12"/>
        <v>-1.5450000006239861E-2</v>
      </c>
      <c r="H69" s="37">
        <f t="shared" si="7"/>
        <v>-1.5450000006239861E-2</v>
      </c>
      <c r="O69">
        <f t="shared" ca="1" si="10"/>
        <v>-4.7476859070495543E-2</v>
      </c>
      <c r="Q69" s="1">
        <f t="shared" si="11"/>
        <v>22127.976999999999</v>
      </c>
      <c r="R69" s="1"/>
      <c r="S69" s="1"/>
      <c r="T69" s="1"/>
    </row>
    <row r="70" spans="1:21" x14ac:dyDescent="0.2">
      <c r="A70" s="55" t="s">
        <v>213</v>
      </c>
      <c r="B70" s="62" t="s">
        <v>43</v>
      </c>
      <c r="C70" s="58">
        <v>37199.445</v>
      </c>
      <c r="D70" s="55" t="s">
        <v>52</v>
      </c>
      <c r="E70">
        <f t="shared" si="8"/>
        <v>-3249.9936247439282</v>
      </c>
      <c r="F70">
        <f t="shared" si="9"/>
        <v>-3250</v>
      </c>
      <c r="G70">
        <f t="shared" si="12"/>
        <v>1.3500000000931323E-2</v>
      </c>
      <c r="H70" s="37">
        <f t="shared" si="7"/>
        <v>1.3500000000931323E-2</v>
      </c>
      <c r="O70">
        <f t="shared" ca="1" si="10"/>
        <v>-4.7184926347441113E-2</v>
      </c>
      <c r="Q70" s="1">
        <f t="shared" si="11"/>
        <v>22180.945</v>
      </c>
      <c r="R70" s="1"/>
      <c r="S70" s="1"/>
      <c r="T70" s="1"/>
    </row>
    <row r="71" spans="1:21" x14ac:dyDescent="0.2">
      <c r="A71" s="55" t="s">
        <v>218</v>
      </c>
      <c r="B71" s="62" t="s">
        <v>43</v>
      </c>
      <c r="C71" s="58">
        <v>37557.292999999998</v>
      </c>
      <c r="D71" s="55" t="s">
        <v>52</v>
      </c>
      <c r="E71">
        <f t="shared" si="8"/>
        <v>-3081.0030591784343</v>
      </c>
      <c r="F71">
        <f t="shared" si="9"/>
        <v>-3081</v>
      </c>
      <c r="G71">
        <f t="shared" si="12"/>
        <v>-6.4780000029713847E-3</v>
      </c>
      <c r="H71" s="37">
        <f t="shared" si="7"/>
        <v>-6.4780000029713847E-3</v>
      </c>
      <c r="O71">
        <f t="shared" ca="1" si="10"/>
        <v>-4.5211461139593172E-2</v>
      </c>
      <c r="Q71" s="1">
        <f t="shared" si="11"/>
        <v>22538.792999999998</v>
      </c>
      <c r="R71" s="1"/>
      <c r="S71" s="1"/>
      <c r="T71" s="1"/>
    </row>
    <row r="72" spans="1:21" x14ac:dyDescent="0.2">
      <c r="A72" s="55" t="s">
        <v>213</v>
      </c>
      <c r="B72" s="62" t="s">
        <v>43</v>
      </c>
      <c r="C72" s="58">
        <v>37559.436999999998</v>
      </c>
      <c r="D72" s="55" t="s">
        <v>52</v>
      </c>
      <c r="E72">
        <f t="shared" si="8"/>
        <v>-3079.9905740658378</v>
      </c>
      <c r="F72">
        <f t="shared" si="9"/>
        <v>-3080</v>
      </c>
      <c r="G72">
        <f t="shared" si="12"/>
        <v>1.9959999997809064E-2</v>
      </c>
      <c r="H72" s="37">
        <f t="shared" si="7"/>
        <v>1.9959999997809064E-2</v>
      </c>
      <c r="O72">
        <f t="shared" ca="1" si="10"/>
        <v>-4.5199783830670991E-2</v>
      </c>
      <c r="Q72" s="1">
        <f t="shared" si="11"/>
        <v>22540.936999999998</v>
      </c>
      <c r="R72" s="1"/>
      <c r="S72" s="1"/>
      <c r="T72" s="1"/>
    </row>
    <row r="73" spans="1:21" x14ac:dyDescent="0.2">
      <c r="A73" s="55" t="s">
        <v>213</v>
      </c>
      <c r="B73" s="62" t="s">
        <v>43</v>
      </c>
      <c r="C73" s="58">
        <v>38262.442999999999</v>
      </c>
      <c r="D73" s="55" t="s">
        <v>52</v>
      </c>
      <c r="E73">
        <f t="shared" si="8"/>
        <v>-2748.0021836432666</v>
      </c>
      <c r="F73">
        <f t="shared" si="9"/>
        <v>-2748</v>
      </c>
      <c r="G73">
        <f t="shared" si="12"/>
        <v>-4.6240000010584481E-3</v>
      </c>
      <c r="H73" s="37">
        <f t="shared" si="7"/>
        <v>-4.6240000010584481E-3</v>
      </c>
      <c r="O73">
        <f t="shared" ca="1" si="10"/>
        <v>-4.1322917268508168E-2</v>
      </c>
      <c r="Q73" s="1">
        <f t="shared" si="11"/>
        <v>23243.942999999999</v>
      </c>
      <c r="R73" s="1"/>
      <c r="S73" s="1"/>
      <c r="T73" s="1"/>
    </row>
    <row r="74" spans="1:21" x14ac:dyDescent="0.2">
      <c r="A74" s="55" t="s">
        <v>213</v>
      </c>
      <c r="B74" s="62" t="s">
        <v>43</v>
      </c>
      <c r="C74" s="58">
        <v>38315.366000000002</v>
      </c>
      <c r="D74" s="55" t="s">
        <v>52</v>
      </c>
      <c r="E74">
        <f t="shared" si="8"/>
        <v>-2723.009763114374</v>
      </c>
      <c r="F74">
        <f t="shared" si="9"/>
        <v>-2723</v>
      </c>
      <c r="G74">
        <f t="shared" si="12"/>
        <v>-2.0673999999416992E-2</v>
      </c>
      <c r="H74" s="37">
        <f t="shared" si="7"/>
        <v>-2.0673999999416992E-2</v>
      </c>
      <c r="O74">
        <f t="shared" ca="1" si="10"/>
        <v>-4.1030984545453737E-2</v>
      </c>
      <c r="Q74" s="1">
        <f t="shared" si="11"/>
        <v>23296.866000000002</v>
      </c>
      <c r="R74" s="1"/>
      <c r="S74" s="1"/>
      <c r="T74" s="1"/>
    </row>
    <row r="75" spans="1:21" x14ac:dyDescent="0.2">
      <c r="A75" s="55" t="s">
        <v>233</v>
      </c>
      <c r="B75" s="62" t="s">
        <v>43</v>
      </c>
      <c r="C75" s="58">
        <v>39376.284800000001</v>
      </c>
      <c r="D75" s="55" t="s">
        <v>52</v>
      </c>
      <c r="E75">
        <f t="shared" si="8"/>
        <v>-2222.0002058971595</v>
      </c>
      <c r="F75">
        <f t="shared" si="9"/>
        <v>-2222</v>
      </c>
      <c r="G75">
        <f t="shared" si="12"/>
        <v>-4.3600000208243728E-4</v>
      </c>
      <c r="J75" s="37">
        <f>G75</f>
        <v>-4.3600000208243728E-4</v>
      </c>
      <c r="O75">
        <f t="shared" ca="1" si="10"/>
        <v>-3.5180652775442967E-2</v>
      </c>
      <c r="Q75" s="1">
        <f t="shared" si="11"/>
        <v>24357.784800000001</v>
      </c>
      <c r="R75" s="1"/>
      <c r="S75" s="1"/>
      <c r="T75" s="1"/>
    </row>
    <row r="76" spans="1:21" x14ac:dyDescent="0.2">
      <c r="A76" s="55" t="s">
        <v>233</v>
      </c>
      <c r="B76" s="62" t="s">
        <v>43</v>
      </c>
      <c r="C76" s="58">
        <v>39685.446600000003</v>
      </c>
      <c r="D76" s="55" t="s">
        <v>52</v>
      </c>
      <c r="E76">
        <f t="shared" si="8"/>
        <v>-2076.0012693843196</v>
      </c>
      <c r="F76">
        <f t="shared" si="9"/>
        <v>-2076</v>
      </c>
      <c r="G76">
        <f t="shared" si="12"/>
        <v>-2.68800000048941E-3</v>
      </c>
      <c r="J76" s="37">
        <f>G76</f>
        <v>-2.68800000048941E-3</v>
      </c>
      <c r="O76">
        <f t="shared" ca="1" si="10"/>
        <v>-3.3475765672805094E-2</v>
      </c>
      <c r="Q76" s="1">
        <f t="shared" si="11"/>
        <v>24666.946600000003</v>
      </c>
      <c r="R76" s="1"/>
      <c r="S76" s="1"/>
      <c r="T76" s="1"/>
    </row>
    <row r="77" spans="1:21" x14ac:dyDescent="0.2">
      <c r="A77" t="s">
        <v>30</v>
      </c>
      <c r="B77" s="2"/>
      <c r="C77" s="16">
        <v>43791.411</v>
      </c>
      <c r="D77" s="14"/>
      <c r="E77">
        <f t="shared" si="8"/>
        <v>-136.99575266273271</v>
      </c>
      <c r="F77">
        <f t="shared" si="9"/>
        <v>-137</v>
      </c>
      <c r="O77">
        <f t="shared" ca="1" si="10"/>
        <v>-1.0833463672703537E-2</v>
      </c>
      <c r="Q77" s="1">
        <f t="shared" si="11"/>
        <v>28772.911</v>
      </c>
      <c r="R77" s="1"/>
      <c r="S77" s="1"/>
      <c r="T77" s="1"/>
      <c r="U77" s="36">
        <v>8.993999996164348E-3</v>
      </c>
    </row>
    <row r="78" spans="1:21" x14ac:dyDescent="0.2">
      <c r="A78" s="10" t="s">
        <v>26</v>
      </c>
      <c r="B78" s="95"/>
      <c r="C78" s="76">
        <v>44081.508000000002</v>
      </c>
      <c r="D78" s="15"/>
      <c r="E78">
        <f t="shared" si="8"/>
        <v>0</v>
      </c>
      <c r="F78">
        <f t="shared" si="9"/>
        <v>0</v>
      </c>
      <c r="G78">
        <f t="shared" ref="G78:G87" si="13">C78-($C$7+$C$8*$F78)</f>
        <v>0</v>
      </c>
      <c r="H78" s="37">
        <v>0</v>
      </c>
      <c r="O78">
        <f t="shared" ca="1" si="10"/>
        <v>-9.2336723503652629E-3</v>
      </c>
      <c r="Q78" s="1">
        <f t="shared" si="11"/>
        <v>29063.008000000002</v>
      </c>
      <c r="R78" s="1"/>
      <c r="S78" s="1"/>
      <c r="T78" s="1"/>
    </row>
    <row r="79" spans="1:21" x14ac:dyDescent="0.2">
      <c r="A79" s="4" t="s">
        <v>31</v>
      </c>
      <c r="B79" s="2"/>
      <c r="C79" s="16">
        <v>51812.773090000002</v>
      </c>
      <c r="D79" s="14">
        <v>2.0000000000000001E-4</v>
      </c>
      <c r="E79">
        <f t="shared" ref="E79:E101" si="14">+(C79-C$7)/C$8</f>
        <v>3651.0218307657583</v>
      </c>
      <c r="F79">
        <f t="shared" ref="F79:F103" si="15">ROUND(2*E79,0)/2</f>
        <v>3651</v>
      </c>
      <c r="G79">
        <f t="shared" si="13"/>
        <v>4.6227999999246094E-2</v>
      </c>
      <c r="K79">
        <f>+G79</f>
        <v>4.6227999999246094E-2</v>
      </c>
      <c r="O79">
        <f t="shared" ref="O79:O101" ca="1" si="16">+C$11+C$12*$F79</f>
        <v>3.3400182524503642E-2</v>
      </c>
      <c r="Q79" s="1">
        <f t="shared" ref="Q79:Q101" si="17">+C79-15018.5</f>
        <v>36794.273090000002</v>
      </c>
      <c r="R79" s="1"/>
      <c r="S79" s="1"/>
      <c r="T79" s="1"/>
      <c r="U79" s="36"/>
    </row>
    <row r="80" spans="1:21" x14ac:dyDescent="0.2">
      <c r="A80" s="7" t="s">
        <v>33</v>
      </c>
      <c r="B80" s="96"/>
      <c r="C80" s="16">
        <v>52113.461600000002</v>
      </c>
      <c r="D80" s="16">
        <v>2.7000000000000001E-3</v>
      </c>
      <c r="E80">
        <f t="shared" si="14"/>
        <v>3793.0193307208956</v>
      </c>
      <c r="F80">
        <f t="shared" si="15"/>
        <v>3793</v>
      </c>
      <c r="G80">
        <f t="shared" si="13"/>
        <v>4.0933999996923376E-2</v>
      </c>
      <c r="J80">
        <f>+G80</f>
        <v>4.0933999996923376E-2</v>
      </c>
      <c r="O80">
        <f t="shared" ca="1" si="16"/>
        <v>3.5058360391452797E-2</v>
      </c>
      <c r="Q80" s="1">
        <f t="shared" si="17"/>
        <v>37094.961600000002</v>
      </c>
      <c r="R80" s="1"/>
      <c r="S80" s="1"/>
      <c r="T80" s="1"/>
      <c r="U80" s="36"/>
    </row>
    <row r="81" spans="1:21" x14ac:dyDescent="0.2">
      <c r="A81" s="7" t="s">
        <v>33</v>
      </c>
      <c r="B81" s="34"/>
      <c r="C81" s="29">
        <v>52219.328800000003</v>
      </c>
      <c r="D81" s="29">
        <v>4.0000000000000002E-4</v>
      </c>
      <c r="E81">
        <f t="shared" si="14"/>
        <v>3843.0141832919185</v>
      </c>
      <c r="F81">
        <f t="shared" si="15"/>
        <v>3843</v>
      </c>
      <c r="G81">
        <f t="shared" si="13"/>
        <v>3.0034000003070105E-2</v>
      </c>
      <c r="J81">
        <v>3.0034000003070105E-2</v>
      </c>
      <c r="O81">
        <f t="shared" ca="1" si="16"/>
        <v>3.5642225837561659E-2</v>
      </c>
      <c r="Q81" s="1">
        <f t="shared" si="17"/>
        <v>37200.828800000003</v>
      </c>
      <c r="R81" s="1"/>
      <c r="S81" s="1"/>
      <c r="T81" s="1"/>
      <c r="U81" s="36"/>
    </row>
    <row r="82" spans="1:21" x14ac:dyDescent="0.2">
      <c r="A82" s="30" t="s">
        <v>32</v>
      </c>
      <c r="B82" s="33"/>
      <c r="C82" s="29">
        <v>52839.780508439479</v>
      </c>
      <c r="D82" s="7">
        <v>1.4999999999999999E-4</v>
      </c>
      <c r="E82">
        <f t="shared" si="14"/>
        <v>4136.0170367807305</v>
      </c>
      <c r="F82">
        <f t="shared" si="15"/>
        <v>4136</v>
      </c>
      <c r="G82">
        <f t="shared" si="13"/>
        <v>3.6076439479074907E-2</v>
      </c>
      <c r="K82">
        <f>+G82</f>
        <v>3.6076439479074907E-2</v>
      </c>
      <c r="O82">
        <f t="shared" ca="1" si="16"/>
        <v>3.9063677351759571E-2</v>
      </c>
      <c r="Q82" s="1">
        <f t="shared" si="17"/>
        <v>37821.280508439479</v>
      </c>
      <c r="R82" s="1"/>
      <c r="S82" s="1"/>
      <c r="T82" s="1"/>
      <c r="U82" s="36"/>
    </row>
    <row r="83" spans="1:21" x14ac:dyDescent="0.2">
      <c r="A83" s="55" t="s">
        <v>272</v>
      </c>
      <c r="B83" s="62" t="s">
        <v>43</v>
      </c>
      <c r="C83" s="58">
        <v>52852.487000000001</v>
      </c>
      <c r="D83" s="55" t="s">
        <v>52</v>
      </c>
      <c r="E83">
        <f t="shared" si="14"/>
        <v>4142.0175654833247</v>
      </c>
      <c r="F83">
        <f t="shared" si="15"/>
        <v>4142</v>
      </c>
      <c r="G83">
        <f t="shared" si="13"/>
        <v>3.7195999997493345E-2</v>
      </c>
      <c r="H83" s="37">
        <f>G83</f>
        <v>3.7195999997493345E-2</v>
      </c>
      <c r="O83">
        <f t="shared" ca="1" si="16"/>
        <v>3.9133741205292637E-2</v>
      </c>
      <c r="Q83" s="1">
        <f t="shared" si="17"/>
        <v>37833.987000000001</v>
      </c>
      <c r="R83" s="1"/>
      <c r="S83" s="1"/>
      <c r="T83" s="1"/>
    </row>
    <row r="84" spans="1:21" x14ac:dyDescent="0.2">
      <c r="A84" s="31" t="s">
        <v>51</v>
      </c>
      <c r="B84" s="32" t="s">
        <v>43</v>
      </c>
      <c r="C84" s="78">
        <v>53267.538999999997</v>
      </c>
      <c r="D84" s="31" t="s">
        <v>52</v>
      </c>
      <c r="E84">
        <f t="shared" si="14"/>
        <v>4338.0222161145675</v>
      </c>
      <c r="F84">
        <f t="shared" si="15"/>
        <v>4338</v>
      </c>
      <c r="G84">
        <f t="shared" si="13"/>
        <v>4.7043999999004882E-2</v>
      </c>
      <c r="I84">
        <f>G84</f>
        <v>4.7043999999004882E-2</v>
      </c>
      <c r="O84">
        <f t="shared" ca="1" si="16"/>
        <v>4.1422493754039363E-2</v>
      </c>
      <c r="Q84" s="1">
        <f t="shared" si="17"/>
        <v>38249.038999999997</v>
      </c>
      <c r="R84" s="1"/>
      <c r="S84" s="1"/>
      <c r="T84" s="1"/>
      <c r="U84" s="36"/>
    </row>
    <row r="85" spans="1:21" x14ac:dyDescent="0.2">
      <c r="A85" s="8" t="s">
        <v>35</v>
      </c>
      <c r="B85" s="34"/>
      <c r="C85" s="29">
        <v>53519.522100000002</v>
      </c>
      <c r="D85" s="7">
        <v>5.0000000000000001E-4</v>
      </c>
      <c r="E85">
        <f t="shared" si="14"/>
        <v>4457.0190152637797</v>
      </c>
      <c r="F85">
        <f t="shared" si="15"/>
        <v>4457</v>
      </c>
      <c r="G85">
        <f t="shared" si="13"/>
        <v>4.0265999996336177E-2</v>
      </c>
      <c r="J85">
        <f>G85</f>
        <v>4.0265999996336177E-2</v>
      </c>
      <c r="O85">
        <f t="shared" ca="1" si="16"/>
        <v>4.281209351577845E-2</v>
      </c>
      <c r="Q85" s="1">
        <f t="shared" si="17"/>
        <v>38501.022100000002</v>
      </c>
      <c r="R85" s="1"/>
      <c r="S85" s="1"/>
      <c r="T85" s="1"/>
      <c r="U85" s="36"/>
    </row>
    <row r="86" spans="1:21" x14ac:dyDescent="0.2">
      <c r="A86" s="8" t="s">
        <v>42</v>
      </c>
      <c r="B86" s="33" t="s">
        <v>36</v>
      </c>
      <c r="C86" s="29">
        <v>53577.747000000003</v>
      </c>
      <c r="D86" s="7">
        <v>2.9999999999999997E-4</v>
      </c>
      <c r="E86">
        <f t="shared" si="14"/>
        <v>4484.5152113609902</v>
      </c>
      <c r="F86">
        <f t="shared" si="15"/>
        <v>4484.5</v>
      </c>
      <c r="G86">
        <f t="shared" si="13"/>
        <v>3.2210999997914769E-2</v>
      </c>
      <c r="K86">
        <f>G86</f>
        <v>3.2210999997914769E-2</v>
      </c>
      <c r="O86">
        <f t="shared" ca="1" si="16"/>
        <v>4.313321951113832E-2</v>
      </c>
      <c r="Q86" s="1">
        <f t="shared" si="17"/>
        <v>38559.247000000003</v>
      </c>
      <c r="R86" s="1"/>
      <c r="S86" s="1"/>
      <c r="T86" s="1"/>
      <c r="U86" s="36"/>
    </row>
    <row r="87" spans="1:21" x14ac:dyDescent="0.2">
      <c r="A87" s="8" t="s">
        <v>42</v>
      </c>
      <c r="B87" s="33" t="s">
        <v>43</v>
      </c>
      <c r="C87" s="29">
        <v>53578.8125</v>
      </c>
      <c r="D87" s="7">
        <v>2.0000000000000001E-4</v>
      </c>
      <c r="E87">
        <f t="shared" si="14"/>
        <v>4485.0183843495488</v>
      </c>
      <c r="F87">
        <f t="shared" si="15"/>
        <v>4485</v>
      </c>
      <c r="G87">
        <f t="shared" si="13"/>
        <v>3.8929999995161779E-2</v>
      </c>
      <c r="J87">
        <f>G87</f>
        <v>3.8929999995161779E-2</v>
      </c>
      <c r="O87">
        <f t="shared" ca="1" si="16"/>
        <v>4.313905816559941E-2</v>
      </c>
      <c r="Q87" s="1">
        <f t="shared" si="17"/>
        <v>38560.3125</v>
      </c>
      <c r="R87" s="1"/>
      <c r="S87" s="1"/>
      <c r="T87" s="1"/>
      <c r="U87" s="36"/>
    </row>
    <row r="88" spans="1:21" x14ac:dyDescent="0.2">
      <c r="A88" s="8" t="s">
        <v>35</v>
      </c>
      <c r="B88" s="33" t="s">
        <v>36</v>
      </c>
      <c r="C88" s="29">
        <v>53660.307000000001</v>
      </c>
      <c r="D88" s="7">
        <v>7.0000000000000001E-3</v>
      </c>
      <c r="E88">
        <f t="shared" si="14"/>
        <v>4523.5034440550025</v>
      </c>
      <c r="F88">
        <f t="shared" si="15"/>
        <v>4523.5</v>
      </c>
      <c r="O88">
        <f t="shared" ca="1" si="16"/>
        <v>4.358863455910323E-2</v>
      </c>
      <c r="Q88" s="1">
        <f t="shared" si="17"/>
        <v>38641.807000000001</v>
      </c>
      <c r="R88" s="1"/>
      <c r="S88" s="1"/>
      <c r="T88" s="1"/>
      <c r="U88" s="36">
        <f>C88-($C$7+$C$8*$F88)</f>
        <v>7.2930000023916364E-3</v>
      </c>
    </row>
    <row r="89" spans="1:21" x14ac:dyDescent="0.2">
      <c r="A89" s="55" t="s">
        <v>305</v>
      </c>
      <c r="B89" s="62" t="s">
        <v>43</v>
      </c>
      <c r="C89" s="58">
        <v>53896.450299999997</v>
      </c>
      <c r="D89" s="55" t="s">
        <v>60</v>
      </c>
      <c r="E89">
        <f t="shared" si="14"/>
        <v>4635.0200371937144</v>
      </c>
      <c r="F89">
        <f t="shared" si="15"/>
        <v>4635</v>
      </c>
      <c r="G89">
        <f t="shared" ref="G89:G98" si="18">C89-($C$7+$C$8*$F89)</f>
        <v>4.2429999994055834E-2</v>
      </c>
      <c r="K89" s="37">
        <f>G89</f>
        <v>4.2429999994055834E-2</v>
      </c>
      <c r="O89">
        <f t="shared" ca="1" si="16"/>
        <v>4.4890654503925986E-2</v>
      </c>
      <c r="Q89" s="1">
        <f t="shared" si="17"/>
        <v>38877.950299999997</v>
      </c>
      <c r="R89" s="1"/>
      <c r="S89" s="1"/>
      <c r="T89" s="1"/>
    </row>
    <row r="90" spans="1:21" x14ac:dyDescent="0.2">
      <c r="A90" s="8" t="s">
        <v>44</v>
      </c>
      <c r="B90" s="34" t="s">
        <v>43</v>
      </c>
      <c r="C90" s="29">
        <v>53934.57</v>
      </c>
      <c r="D90" s="7">
        <v>1.2999999999999999E-3</v>
      </c>
      <c r="E90">
        <f t="shared" si="14"/>
        <v>4653.0217297061427</v>
      </c>
      <c r="F90">
        <f t="shared" si="15"/>
        <v>4653</v>
      </c>
      <c r="G90">
        <f t="shared" si="18"/>
        <v>4.6013999999559019E-2</v>
      </c>
      <c r="J90">
        <f>G90</f>
        <v>4.6013999999559019E-2</v>
      </c>
      <c r="O90">
        <f t="shared" ca="1" si="16"/>
        <v>4.5100846064525177E-2</v>
      </c>
      <c r="Q90" s="1">
        <f t="shared" si="17"/>
        <v>38916.07</v>
      </c>
      <c r="R90" s="1"/>
      <c r="S90" s="1"/>
      <c r="T90" s="1"/>
      <c r="U90" s="36"/>
    </row>
    <row r="91" spans="1:21" x14ac:dyDescent="0.2">
      <c r="A91" s="55" t="s">
        <v>316</v>
      </c>
      <c r="B91" s="62" t="s">
        <v>43</v>
      </c>
      <c r="C91" s="58">
        <v>55048.417800000003</v>
      </c>
      <c r="D91" s="55" t="s">
        <v>60</v>
      </c>
      <c r="E91">
        <f t="shared" si="14"/>
        <v>5179.0265408993937</v>
      </c>
      <c r="F91">
        <f t="shared" si="15"/>
        <v>5179</v>
      </c>
      <c r="G91">
        <f t="shared" si="18"/>
        <v>5.620199999975739E-2</v>
      </c>
      <c r="K91" s="37">
        <f>G91</f>
        <v>5.620199999975739E-2</v>
      </c>
      <c r="O91">
        <f t="shared" ca="1" si="16"/>
        <v>5.1243110557590378E-2</v>
      </c>
      <c r="Q91" s="1">
        <f t="shared" si="17"/>
        <v>40029.917800000003</v>
      </c>
      <c r="R91" s="1"/>
      <c r="S91" s="1"/>
      <c r="T91" s="1"/>
    </row>
    <row r="92" spans="1:21" x14ac:dyDescent="0.2">
      <c r="A92" s="55" t="s">
        <v>316</v>
      </c>
      <c r="B92" s="62" t="s">
        <v>43</v>
      </c>
      <c r="C92" s="58">
        <v>55084.413999999997</v>
      </c>
      <c r="D92" s="55" t="s">
        <v>60</v>
      </c>
      <c r="E92">
        <f t="shared" si="14"/>
        <v>5196.0254292436284</v>
      </c>
      <c r="F92">
        <f t="shared" si="15"/>
        <v>5196</v>
      </c>
      <c r="G92">
        <f t="shared" si="18"/>
        <v>5.3847999995923601E-2</v>
      </c>
      <c r="K92" s="37">
        <f>G92</f>
        <v>5.3847999995923601E-2</v>
      </c>
      <c r="O92">
        <f t="shared" ca="1" si="16"/>
        <v>5.1441624809267388E-2</v>
      </c>
      <c r="Q92" s="1">
        <f t="shared" si="17"/>
        <v>40065.913999999997</v>
      </c>
      <c r="R92" s="1"/>
      <c r="S92" s="1"/>
      <c r="T92" s="1"/>
    </row>
    <row r="93" spans="1:21" x14ac:dyDescent="0.2">
      <c r="A93" s="8" t="s">
        <v>49</v>
      </c>
      <c r="B93" s="33" t="s">
        <v>43</v>
      </c>
      <c r="C93" s="29">
        <v>55374.52115</v>
      </c>
      <c r="D93" s="7">
        <v>5.0000000000000001E-4</v>
      </c>
      <c r="E93">
        <f t="shared" si="14"/>
        <v>5333.0259751544463</v>
      </c>
      <c r="F93">
        <f t="shared" si="15"/>
        <v>5333</v>
      </c>
      <c r="G93">
        <f t="shared" si="18"/>
        <v>5.5004000001645181E-2</v>
      </c>
      <c r="J93">
        <f>G93</f>
        <v>5.5004000001645181E-2</v>
      </c>
      <c r="O93">
        <f t="shared" ca="1" si="16"/>
        <v>5.3041416131605665E-2</v>
      </c>
      <c r="Q93" s="1">
        <f t="shared" si="17"/>
        <v>40356.02115</v>
      </c>
      <c r="R93" s="1"/>
      <c r="S93" s="1"/>
      <c r="T93" s="1"/>
      <c r="U93" s="36"/>
    </row>
    <row r="94" spans="1:21" x14ac:dyDescent="0.2">
      <c r="A94" s="8" t="s">
        <v>49</v>
      </c>
      <c r="B94" s="33" t="s">
        <v>43</v>
      </c>
      <c r="C94" s="29">
        <v>55374.522749999996</v>
      </c>
      <c r="D94" s="7">
        <v>2.0000000000000001E-4</v>
      </c>
      <c r="E94">
        <f t="shared" si="14"/>
        <v>5333.0267307403492</v>
      </c>
      <c r="F94">
        <f t="shared" si="15"/>
        <v>5333</v>
      </c>
      <c r="G94">
        <f t="shared" si="18"/>
        <v>5.660399999760557E-2</v>
      </c>
      <c r="J94">
        <f>G94</f>
        <v>5.660399999760557E-2</v>
      </c>
      <c r="O94">
        <f t="shared" ca="1" si="16"/>
        <v>5.3041416131605665E-2</v>
      </c>
      <c r="Q94" s="1">
        <f t="shared" si="17"/>
        <v>40356.022749999996</v>
      </c>
      <c r="R94" s="1"/>
      <c r="S94" s="1"/>
      <c r="T94" s="1"/>
      <c r="U94" s="36"/>
    </row>
    <row r="95" spans="1:21" x14ac:dyDescent="0.2">
      <c r="A95" s="38" t="s">
        <v>56</v>
      </c>
      <c r="B95" s="97"/>
      <c r="C95" s="77">
        <v>55429.577700000002</v>
      </c>
      <c r="D95" s="39">
        <v>2.3E-3</v>
      </c>
      <c r="E95">
        <f t="shared" si="14"/>
        <v>5359.0259458754927</v>
      </c>
      <c r="F95">
        <f t="shared" si="15"/>
        <v>5359</v>
      </c>
      <c r="G95">
        <f t="shared" si="18"/>
        <v>5.4942000002483837E-2</v>
      </c>
      <c r="J95">
        <f>G95</f>
        <v>5.4942000002483837E-2</v>
      </c>
      <c r="O95">
        <f t="shared" ca="1" si="16"/>
        <v>5.3345026163582276E-2</v>
      </c>
      <c r="Q95" s="1">
        <f t="shared" si="17"/>
        <v>40411.077700000002</v>
      </c>
      <c r="R95" s="1"/>
      <c r="S95" s="1"/>
      <c r="T95" s="1"/>
      <c r="U95" s="36"/>
    </row>
    <row r="96" spans="1:21" x14ac:dyDescent="0.2">
      <c r="A96" s="31" t="s">
        <v>50</v>
      </c>
      <c r="B96" s="32" t="s">
        <v>43</v>
      </c>
      <c r="C96" s="78">
        <v>55480.391100000001</v>
      </c>
      <c r="D96" s="31">
        <v>3.5000000000000001E-3</v>
      </c>
      <c r="E96">
        <f t="shared" si="14"/>
        <v>5383.0221263887433</v>
      </c>
      <c r="F96">
        <f t="shared" si="15"/>
        <v>5383</v>
      </c>
      <c r="G96">
        <f t="shared" si="18"/>
        <v>4.6854000000166707E-2</v>
      </c>
      <c r="J96">
        <f>G96</f>
        <v>4.6854000000166707E-2</v>
      </c>
      <c r="O96">
        <f t="shared" ca="1" si="16"/>
        <v>5.3625281577714526E-2</v>
      </c>
      <c r="Q96" s="1">
        <f t="shared" si="17"/>
        <v>40461.891100000001</v>
      </c>
      <c r="R96" s="1"/>
      <c r="S96" s="1"/>
      <c r="T96" s="1"/>
      <c r="U96" s="36"/>
    </row>
    <row r="97" spans="1:21" x14ac:dyDescent="0.2">
      <c r="A97" s="38" t="s">
        <v>56</v>
      </c>
      <c r="B97" s="97"/>
      <c r="C97" s="77">
        <v>55481.4499</v>
      </c>
      <c r="D97" s="39">
        <v>2.9999999999999997E-4</v>
      </c>
      <c r="E97">
        <f t="shared" si="14"/>
        <v>5383.5221353613251</v>
      </c>
      <c r="F97">
        <f t="shared" si="15"/>
        <v>5383.5</v>
      </c>
      <c r="G97">
        <f t="shared" si="18"/>
        <v>4.6872999999322928E-2</v>
      </c>
      <c r="J97">
        <f>G97</f>
        <v>4.6872999999322928E-2</v>
      </c>
      <c r="O97">
        <f t="shared" ca="1" si="16"/>
        <v>5.3631120232175616E-2</v>
      </c>
      <c r="Q97" s="1">
        <f t="shared" si="17"/>
        <v>40462.9499</v>
      </c>
      <c r="R97" s="1"/>
      <c r="S97" s="1"/>
      <c r="T97" s="1"/>
      <c r="U97" s="36"/>
    </row>
    <row r="98" spans="1:21" x14ac:dyDescent="0.2">
      <c r="A98" s="55" t="s">
        <v>348</v>
      </c>
      <c r="B98" s="62" t="s">
        <v>43</v>
      </c>
      <c r="C98" s="58">
        <v>55857.326300000001</v>
      </c>
      <c r="D98" s="55" t="s">
        <v>52</v>
      </c>
      <c r="E98">
        <f t="shared" si="14"/>
        <v>5561.0264540070139</v>
      </c>
      <c r="F98">
        <f t="shared" si="15"/>
        <v>5561</v>
      </c>
      <c r="G98">
        <f t="shared" si="18"/>
        <v>5.601800000295043E-2</v>
      </c>
      <c r="I98" s="37">
        <f>G98</f>
        <v>5.601800000295043E-2</v>
      </c>
      <c r="O98">
        <f t="shared" ca="1" si="16"/>
        <v>5.5703842565862069E-2</v>
      </c>
      <c r="Q98" s="1">
        <f t="shared" si="17"/>
        <v>40838.826300000001</v>
      </c>
      <c r="R98" s="1"/>
      <c r="S98" s="1"/>
      <c r="T98" s="1"/>
    </row>
    <row r="99" spans="1:21" x14ac:dyDescent="0.2">
      <c r="A99" s="86" t="s">
        <v>54</v>
      </c>
      <c r="B99" s="87" t="s">
        <v>36</v>
      </c>
      <c r="C99" s="88">
        <v>56167.584999999999</v>
      </c>
      <c r="D99" s="89">
        <v>0.01</v>
      </c>
      <c r="E99">
        <f t="shared" si="14"/>
        <v>5707.5433918817953</v>
      </c>
      <c r="F99">
        <f t="shared" si="15"/>
        <v>5707.5</v>
      </c>
      <c r="O99">
        <f t="shared" ca="1" si="16"/>
        <v>5.7414568322961018E-2</v>
      </c>
      <c r="Q99" s="1">
        <f t="shared" si="17"/>
        <v>41149.084999999999</v>
      </c>
      <c r="R99" s="1"/>
      <c r="S99" s="1"/>
      <c r="T99" s="1"/>
      <c r="U99" s="36">
        <f>C99-($C$7+$C$8*$F99)</f>
        <v>9.188499999436317E-2</v>
      </c>
    </row>
    <row r="100" spans="1:21" x14ac:dyDescent="0.2">
      <c r="A100" s="40" t="s">
        <v>57</v>
      </c>
      <c r="B100" s="41" t="s">
        <v>43</v>
      </c>
      <c r="C100" s="79">
        <v>56886.462399999997</v>
      </c>
      <c r="D100" s="40">
        <v>1E-3</v>
      </c>
      <c r="E100">
        <f t="shared" si="14"/>
        <v>6047.0269111364842</v>
      </c>
      <c r="F100">
        <f t="shared" si="15"/>
        <v>6047</v>
      </c>
      <c r="G100">
        <f>C100-($C$7+$C$8*$F100)</f>
        <v>5.6985999995958991E-2</v>
      </c>
      <c r="J100">
        <f>G100</f>
        <v>5.6985999995958991E-2</v>
      </c>
      <c r="O100">
        <f t="shared" ca="1" si="16"/>
        <v>6.1379014702040172E-2</v>
      </c>
      <c r="Q100" s="1">
        <f t="shared" si="17"/>
        <v>41867.962399999997</v>
      </c>
      <c r="R100" s="1"/>
      <c r="S100" s="1"/>
      <c r="T100" s="1"/>
      <c r="U100" s="36"/>
    </row>
    <row r="101" spans="1:21" x14ac:dyDescent="0.2">
      <c r="A101" s="84" t="s">
        <v>366</v>
      </c>
      <c r="B101" s="85"/>
      <c r="C101" s="84">
        <v>57210.453000000001</v>
      </c>
      <c r="D101" s="84">
        <v>1.9E-2</v>
      </c>
      <c r="E101">
        <f t="shared" si="14"/>
        <v>6200.0286178161487</v>
      </c>
      <c r="F101">
        <f t="shared" si="15"/>
        <v>6200</v>
      </c>
      <c r="G101">
        <f>C101-($C$7+$C$8*$F101)</f>
        <v>6.0600000004342292E-2</v>
      </c>
      <c r="H101" s="37">
        <f>G101</f>
        <v>6.0600000004342292E-2</v>
      </c>
      <c r="O101">
        <f t="shared" ca="1" si="16"/>
        <v>6.3165642967133284E-2</v>
      </c>
      <c r="Q101" s="1">
        <f t="shared" si="17"/>
        <v>42191.953000000001</v>
      </c>
      <c r="R101" s="1"/>
      <c r="S101" s="1"/>
      <c r="T101" s="1"/>
    </row>
    <row r="102" spans="1:21" x14ac:dyDescent="0.2">
      <c r="A102" s="90" t="s">
        <v>1</v>
      </c>
      <c r="B102" s="91" t="s">
        <v>43</v>
      </c>
      <c r="C102" s="92">
        <v>57589.504500000003</v>
      </c>
      <c r="D102" s="92">
        <v>1E-4</v>
      </c>
      <c r="E102">
        <f>+(C102-C$7)/C$8</f>
        <v>6379.0323494660379</v>
      </c>
      <c r="F102">
        <f t="shared" si="15"/>
        <v>6379</v>
      </c>
      <c r="G102">
        <f>C102-($C$7+$C$8*$F102)</f>
        <v>6.8502000001899432E-2</v>
      </c>
      <c r="K102" s="37">
        <f>G102</f>
        <v>6.8502000001899432E-2</v>
      </c>
      <c r="O102">
        <f ca="1">+C$11+C$12*$F102</f>
        <v>6.5255881264202995E-2</v>
      </c>
      <c r="Q102" s="1">
        <f>+C102-15018.5</f>
        <v>42571.004500000003</v>
      </c>
    </row>
    <row r="103" spans="1:21" x14ac:dyDescent="0.2">
      <c r="A103" s="93" t="s">
        <v>0</v>
      </c>
      <c r="B103" s="98" t="s">
        <v>43</v>
      </c>
      <c r="C103" s="94">
        <v>57913.497900000002</v>
      </c>
      <c r="D103" s="94">
        <v>2.2000000000000001E-3</v>
      </c>
      <c r="E103">
        <f>+(C103-C$7)/C$8</f>
        <v>6532.0353784210338</v>
      </c>
      <c r="F103">
        <f t="shared" si="15"/>
        <v>6532</v>
      </c>
      <c r="G103">
        <f>C103-($C$7+$C$8*$F103)</f>
        <v>7.4915999997756444E-2</v>
      </c>
      <c r="I103">
        <f>G103</f>
        <v>7.4915999997756444E-2</v>
      </c>
      <c r="O103">
        <f ca="1">+C$11+C$12*$F103</f>
        <v>6.7042509529296107E-2</v>
      </c>
      <c r="Q103" s="1">
        <f>+C103-15018.5</f>
        <v>42894.997900000002</v>
      </c>
    </row>
    <row r="104" spans="1:21" x14ac:dyDescent="0.2">
      <c r="B104" s="2"/>
    </row>
    <row r="105" spans="1:21" x14ac:dyDescent="0.2">
      <c r="B105" s="2"/>
    </row>
    <row r="106" spans="1:21" x14ac:dyDescent="0.2">
      <c r="B106" s="2"/>
    </row>
    <row r="107" spans="1:21" x14ac:dyDescent="0.2">
      <c r="B107" s="2"/>
    </row>
    <row r="108" spans="1:21" x14ac:dyDescent="0.2">
      <c r="B108" s="2"/>
    </row>
    <row r="109" spans="1:21" x14ac:dyDescent="0.2">
      <c r="B109" s="2"/>
    </row>
    <row r="110" spans="1:21" x14ac:dyDescent="0.2">
      <c r="B110" s="2"/>
    </row>
    <row r="111" spans="1:21" x14ac:dyDescent="0.2">
      <c r="B111" s="2"/>
    </row>
    <row r="112" spans="1:21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/>
    </row>
    <row r="269" spans="2:2" x14ac:dyDescent="0.2">
      <c r="B269" s="2"/>
    </row>
    <row r="270" spans="2:2" x14ac:dyDescent="0.2">
      <c r="B270" s="2"/>
    </row>
    <row r="271" spans="2:2" x14ac:dyDescent="0.2">
      <c r="B271" s="2"/>
    </row>
    <row r="272" spans="2: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</sheetData>
  <phoneticPr fontId="8" type="noConversion"/>
  <hyperlinks>
    <hyperlink ref="H1106" r:id="rId1" display="http://vsolj.cetus-net.org/bulletin.html"/>
    <hyperlink ref="H64710" r:id="rId2" display="http://vsolj.cetus-net.org/bulletin.html"/>
    <hyperlink ref="H64703" r:id="rId3" display="https://www.aavso.org/ejaavso"/>
    <hyperlink ref="AP854" r:id="rId4" display="http://cdsbib.u-strasbg.fr/cgi-bin/cdsbib?1990RMxAA..21..381G"/>
    <hyperlink ref="AP858" r:id="rId5" display="http://cdsbib.u-strasbg.fr/cgi-bin/cdsbib?1990RMxAA..21..381G"/>
    <hyperlink ref="AP857" r:id="rId6" display="http://cdsbib.u-strasbg.fr/cgi-bin/cdsbib?1990RMxAA..21..381G"/>
    <hyperlink ref="AP838" r:id="rId7" display="http://cdsbib.u-strasbg.fr/cgi-bin/cdsbib?1990RMxAA..21..381G"/>
    <hyperlink ref="I64710" r:id="rId8" display="http://vsolj.cetus-net.org/bulletin.html"/>
    <hyperlink ref="AQ994" r:id="rId9" display="http://cdsbib.u-strasbg.fr/cgi-bin/cdsbib?1990RMxAA..21..381G"/>
    <hyperlink ref="AQ55760" r:id="rId10" display="http://cdsbib.u-strasbg.fr/cgi-bin/cdsbib?1990RMxAA..21..381G"/>
    <hyperlink ref="AQ995" r:id="rId11" display="http://cdsbib.u-strasbg.fr/cgi-bin/cdsbib?1990RMxAA..21..381G"/>
    <hyperlink ref="H64707" r:id="rId12" display="https://www.aavso.org/ejaavso"/>
    <hyperlink ref="H1880" r:id="rId13" display="http://vsolj.cetus-net.org/bulletin.html"/>
    <hyperlink ref="AP3124" r:id="rId14" display="http://cdsbib.u-strasbg.fr/cgi-bin/cdsbib?1990RMxAA..21..381G"/>
    <hyperlink ref="AP3127" r:id="rId15" display="http://cdsbib.u-strasbg.fr/cgi-bin/cdsbib?1990RMxAA..21..381G"/>
    <hyperlink ref="AP3125" r:id="rId16" display="http://cdsbib.u-strasbg.fr/cgi-bin/cdsbib?1990RMxAA..21..381G"/>
    <hyperlink ref="AP3109" r:id="rId17" display="http://cdsbib.u-strasbg.fr/cgi-bin/cdsbib?1990RMxAA..21..381G"/>
    <hyperlink ref="I1880" r:id="rId18" display="http://vsolj.cetus-net.org/bulletin.html"/>
    <hyperlink ref="AQ3338" r:id="rId19" display="http://cdsbib.u-strasbg.fr/cgi-bin/cdsbib?1990RMxAA..21..381G"/>
    <hyperlink ref="AQ39" r:id="rId20" display="http://cdsbib.u-strasbg.fr/cgi-bin/cdsbib?1990RMxAA..21..381G"/>
    <hyperlink ref="AQ3342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topLeftCell="A43" workbookViewId="0">
      <selection activeCell="A26" sqref="A26:D90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58</v>
      </c>
      <c r="I1" s="43" t="s">
        <v>59</v>
      </c>
      <c r="J1" s="44" t="s">
        <v>60</v>
      </c>
    </row>
    <row r="2" spans="1:16" x14ac:dyDescent="0.2">
      <c r="I2" s="45" t="s">
        <v>61</v>
      </c>
      <c r="J2" s="46" t="s">
        <v>62</v>
      </c>
    </row>
    <row r="3" spans="1:16" x14ac:dyDescent="0.2">
      <c r="A3" s="47" t="s">
        <v>63</v>
      </c>
      <c r="I3" s="45" t="s">
        <v>64</v>
      </c>
      <c r="J3" s="46" t="s">
        <v>65</v>
      </c>
    </row>
    <row r="4" spans="1:16" x14ac:dyDescent="0.2">
      <c r="I4" s="45" t="s">
        <v>66</v>
      </c>
      <c r="J4" s="46" t="s">
        <v>65</v>
      </c>
    </row>
    <row r="5" spans="1:16" ht="13.5" thickBot="1" x14ac:dyDescent="0.25">
      <c r="I5" s="48" t="s">
        <v>67</v>
      </c>
      <c r="J5" s="49" t="s">
        <v>52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BBS 39 </v>
      </c>
      <c r="B11" s="2" t="str">
        <f t="shared" ref="B11:B42" si="1">IF(H11=INT(H11),"I","II")</f>
        <v>I</v>
      </c>
      <c r="C11" s="14">
        <f t="shared" ref="C11:C42" si="2">1*G11</f>
        <v>43791.411</v>
      </c>
      <c r="D11" s="10" t="str">
        <f t="shared" ref="D11:D42" si="3">VLOOKUP(F11,I$1:J$5,2,FALSE)</f>
        <v>vis</v>
      </c>
      <c r="E11" s="50">
        <f>VLOOKUP(C11,Active!C$21:E$967,3,FALSE)</f>
        <v>-136.99575266273271</v>
      </c>
      <c r="F11" s="2" t="s">
        <v>67</v>
      </c>
      <c r="G11" s="10" t="str">
        <f t="shared" ref="G11:G42" si="4">MID(I11,3,LEN(I11)-3)</f>
        <v>43791.411</v>
      </c>
      <c r="H11" s="14">
        <f t="shared" ref="H11:H42" si="5">1*K11</f>
        <v>-137</v>
      </c>
      <c r="I11" s="51" t="s">
        <v>237</v>
      </c>
      <c r="J11" s="52" t="s">
        <v>238</v>
      </c>
      <c r="K11" s="51">
        <v>-137</v>
      </c>
      <c r="L11" s="51" t="s">
        <v>239</v>
      </c>
      <c r="M11" s="52" t="s">
        <v>240</v>
      </c>
      <c r="N11" s="52"/>
      <c r="O11" s="53" t="s">
        <v>241</v>
      </c>
      <c r="P11" s="53" t="s">
        <v>242</v>
      </c>
    </row>
    <row r="12" spans="1:16" ht="12.75" customHeight="1" thickBot="1" x14ac:dyDescent="0.25">
      <c r="A12" s="14" t="str">
        <f t="shared" si="0"/>
        <v> BBS 44 </v>
      </c>
      <c r="B12" s="2" t="str">
        <f t="shared" si="1"/>
        <v>I</v>
      </c>
      <c r="C12" s="14">
        <f t="shared" si="2"/>
        <v>44081.508000000002</v>
      </c>
      <c r="D12" s="10" t="str">
        <f t="shared" si="3"/>
        <v>vis</v>
      </c>
      <c r="E12" s="50">
        <f>VLOOKUP(C12,Active!C$21:E$967,3,FALSE)</f>
        <v>0</v>
      </c>
      <c r="F12" s="2" t="s">
        <v>67</v>
      </c>
      <c r="G12" s="10" t="str">
        <f t="shared" si="4"/>
        <v>44081.508</v>
      </c>
      <c r="H12" s="14">
        <f t="shared" si="5"/>
        <v>0</v>
      </c>
      <c r="I12" s="51" t="s">
        <v>243</v>
      </c>
      <c r="J12" s="52" t="s">
        <v>244</v>
      </c>
      <c r="K12" s="51">
        <v>0</v>
      </c>
      <c r="L12" s="51" t="s">
        <v>154</v>
      </c>
      <c r="M12" s="52" t="s">
        <v>230</v>
      </c>
      <c r="N12" s="52" t="s">
        <v>231</v>
      </c>
      <c r="O12" s="53" t="s">
        <v>241</v>
      </c>
      <c r="P12" s="53" t="s">
        <v>245</v>
      </c>
    </row>
    <row r="13" spans="1:16" ht="12.75" customHeight="1" thickBot="1" x14ac:dyDescent="0.25">
      <c r="A13" s="14" t="str">
        <f t="shared" si="0"/>
        <v>BAVM 152 </v>
      </c>
      <c r="B13" s="2" t="str">
        <f t="shared" si="1"/>
        <v>I</v>
      </c>
      <c r="C13" s="14">
        <f t="shared" si="2"/>
        <v>52113.461600000002</v>
      </c>
      <c r="D13" s="10" t="str">
        <f t="shared" si="3"/>
        <v>vis</v>
      </c>
      <c r="E13" s="50">
        <f>VLOOKUP(C13,Active!C$21:E$967,3,FALSE)</f>
        <v>3793.0193307208956</v>
      </c>
      <c r="F13" s="2" t="s">
        <v>67</v>
      </c>
      <c r="G13" s="10" t="str">
        <f t="shared" si="4"/>
        <v>52113.4616</v>
      </c>
      <c r="H13" s="14">
        <f t="shared" si="5"/>
        <v>3793</v>
      </c>
      <c r="I13" s="51" t="s">
        <v>251</v>
      </c>
      <c r="J13" s="52" t="s">
        <v>252</v>
      </c>
      <c r="K13" s="51">
        <v>3793</v>
      </c>
      <c r="L13" s="51" t="s">
        <v>253</v>
      </c>
      <c r="M13" s="52" t="s">
        <v>230</v>
      </c>
      <c r="N13" s="52" t="s">
        <v>254</v>
      </c>
      <c r="O13" s="53" t="s">
        <v>255</v>
      </c>
      <c r="P13" s="54" t="s">
        <v>256</v>
      </c>
    </row>
    <row r="14" spans="1:16" ht="12.75" customHeight="1" thickBot="1" x14ac:dyDescent="0.25">
      <c r="A14" s="14" t="str">
        <f t="shared" si="0"/>
        <v>BAVM 152 </v>
      </c>
      <c r="B14" s="2" t="str">
        <f t="shared" si="1"/>
        <v>I</v>
      </c>
      <c r="C14" s="14">
        <f t="shared" si="2"/>
        <v>52219.328800000003</v>
      </c>
      <c r="D14" s="10" t="str">
        <f t="shared" si="3"/>
        <v>vis</v>
      </c>
      <c r="E14" s="50">
        <f>VLOOKUP(C14,Active!C$21:E$967,3,FALSE)</f>
        <v>3843.0141832919185</v>
      </c>
      <c r="F14" s="2" t="s">
        <v>67</v>
      </c>
      <c r="G14" s="10" t="str">
        <f t="shared" si="4"/>
        <v>52219.3288</v>
      </c>
      <c r="H14" s="14">
        <f t="shared" si="5"/>
        <v>3843</v>
      </c>
      <c r="I14" s="51" t="s">
        <v>257</v>
      </c>
      <c r="J14" s="52" t="s">
        <v>258</v>
      </c>
      <c r="K14" s="51">
        <v>3843</v>
      </c>
      <c r="L14" s="51" t="s">
        <v>259</v>
      </c>
      <c r="M14" s="52" t="s">
        <v>230</v>
      </c>
      <c r="N14" s="52" t="s">
        <v>260</v>
      </c>
      <c r="O14" s="53" t="s">
        <v>261</v>
      </c>
      <c r="P14" s="54" t="s">
        <v>256</v>
      </c>
    </row>
    <row r="15" spans="1:16" ht="12.75" customHeight="1" thickBot="1" x14ac:dyDescent="0.25">
      <c r="A15" s="14" t="str">
        <f t="shared" si="0"/>
        <v>BAVM 174 </v>
      </c>
      <c r="B15" s="2" t="str">
        <f t="shared" si="1"/>
        <v>I</v>
      </c>
      <c r="C15" s="14">
        <f t="shared" si="2"/>
        <v>53267.538999999997</v>
      </c>
      <c r="D15" s="10" t="str">
        <f t="shared" si="3"/>
        <v>vis</v>
      </c>
      <c r="E15" s="50">
        <f>VLOOKUP(C15,Active!C$21:E$967,3,FALSE)</f>
        <v>4338.0222161145675</v>
      </c>
      <c r="F15" s="2" t="s">
        <v>67</v>
      </c>
      <c r="G15" s="10" t="str">
        <f t="shared" si="4"/>
        <v>53267.539</v>
      </c>
      <c r="H15" s="14">
        <f t="shared" si="5"/>
        <v>4338</v>
      </c>
      <c r="I15" s="51" t="s">
        <v>273</v>
      </c>
      <c r="J15" s="52" t="s">
        <v>274</v>
      </c>
      <c r="K15" s="51" t="s">
        <v>275</v>
      </c>
      <c r="L15" s="51" t="s">
        <v>276</v>
      </c>
      <c r="M15" s="52" t="s">
        <v>240</v>
      </c>
      <c r="N15" s="52"/>
      <c r="O15" s="53" t="s">
        <v>271</v>
      </c>
      <c r="P15" s="54" t="s">
        <v>277</v>
      </c>
    </row>
    <row r="16" spans="1:16" ht="12.75" customHeight="1" thickBot="1" x14ac:dyDescent="0.25">
      <c r="A16" s="14" t="str">
        <f t="shared" si="0"/>
        <v>BAVM 178 </v>
      </c>
      <c r="B16" s="2" t="str">
        <f t="shared" si="1"/>
        <v>I</v>
      </c>
      <c r="C16" s="14">
        <f t="shared" si="2"/>
        <v>53519.522100000002</v>
      </c>
      <c r="D16" s="10" t="str">
        <f t="shared" si="3"/>
        <v>vis</v>
      </c>
      <c r="E16" s="50">
        <f>VLOOKUP(C16,Active!C$21:E$967,3,FALSE)</f>
        <v>4457.0190152637797</v>
      </c>
      <c r="F16" s="2" t="s">
        <v>67</v>
      </c>
      <c r="G16" s="10" t="str">
        <f t="shared" si="4"/>
        <v>53519.5221</v>
      </c>
      <c r="H16" s="14">
        <f t="shared" si="5"/>
        <v>4457</v>
      </c>
      <c r="I16" s="51" t="s">
        <v>278</v>
      </c>
      <c r="J16" s="52" t="s">
        <v>279</v>
      </c>
      <c r="K16" s="51" t="s">
        <v>280</v>
      </c>
      <c r="L16" s="51" t="s">
        <v>281</v>
      </c>
      <c r="M16" s="52" t="s">
        <v>282</v>
      </c>
      <c r="N16" s="52" t="s">
        <v>260</v>
      </c>
      <c r="O16" s="53" t="s">
        <v>283</v>
      </c>
      <c r="P16" s="54" t="s">
        <v>284</v>
      </c>
    </row>
    <row r="17" spans="1:16" ht="12.75" customHeight="1" thickBot="1" x14ac:dyDescent="0.25">
      <c r="A17" s="14" t="str">
        <f t="shared" si="0"/>
        <v>IBVS 5745 </v>
      </c>
      <c r="B17" s="2" t="str">
        <f t="shared" si="1"/>
        <v>II</v>
      </c>
      <c r="C17" s="14">
        <f t="shared" si="2"/>
        <v>53577.747000000003</v>
      </c>
      <c r="D17" s="10" t="str">
        <f t="shared" si="3"/>
        <v>vis</v>
      </c>
      <c r="E17" s="50">
        <f>VLOOKUP(C17,Active!C$21:E$967,3,FALSE)</f>
        <v>4484.5152113609902</v>
      </c>
      <c r="F17" s="2" t="s">
        <v>67</v>
      </c>
      <c r="G17" s="10" t="str">
        <f t="shared" si="4"/>
        <v>53577.7470</v>
      </c>
      <c r="H17" s="14">
        <f t="shared" si="5"/>
        <v>4484.5</v>
      </c>
      <c r="I17" s="51" t="s">
        <v>285</v>
      </c>
      <c r="J17" s="52" t="s">
        <v>286</v>
      </c>
      <c r="K17" s="51" t="s">
        <v>287</v>
      </c>
      <c r="L17" s="51" t="s">
        <v>288</v>
      </c>
      <c r="M17" s="52" t="s">
        <v>230</v>
      </c>
      <c r="N17" s="52" t="s">
        <v>231</v>
      </c>
      <c r="O17" s="53" t="s">
        <v>289</v>
      </c>
      <c r="P17" s="54" t="s">
        <v>290</v>
      </c>
    </row>
    <row r="18" spans="1:16" ht="12.75" customHeight="1" thickBot="1" x14ac:dyDescent="0.25">
      <c r="A18" s="14" t="str">
        <f t="shared" si="0"/>
        <v>IBVS 5745 </v>
      </c>
      <c r="B18" s="2" t="str">
        <f t="shared" si="1"/>
        <v>I</v>
      </c>
      <c r="C18" s="14">
        <f t="shared" si="2"/>
        <v>53578.8125</v>
      </c>
      <c r="D18" s="10" t="str">
        <f t="shared" si="3"/>
        <v>vis</v>
      </c>
      <c r="E18" s="50">
        <f>VLOOKUP(C18,Active!C$21:E$967,3,FALSE)</f>
        <v>4485.0183843495488</v>
      </c>
      <c r="F18" s="2" t="s">
        <v>67</v>
      </c>
      <c r="G18" s="10" t="str">
        <f t="shared" si="4"/>
        <v>53578.8125</v>
      </c>
      <c r="H18" s="14">
        <f t="shared" si="5"/>
        <v>4485</v>
      </c>
      <c r="I18" s="51" t="s">
        <v>291</v>
      </c>
      <c r="J18" s="52" t="s">
        <v>292</v>
      </c>
      <c r="K18" s="51" t="s">
        <v>293</v>
      </c>
      <c r="L18" s="51" t="s">
        <v>294</v>
      </c>
      <c r="M18" s="52" t="s">
        <v>230</v>
      </c>
      <c r="N18" s="52" t="s">
        <v>231</v>
      </c>
      <c r="O18" s="53" t="s">
        <v>289</v>
      </c>
      <c r="P18" s="54" t="s">
        <v>290</v>
      </c>
    </row>
    <row r="19" spans="1:16" ht="12.75" customHeight="1" thickBot="1" x14ac:dyDescent="0.25">
      <c r="A19" s="14" t="str">
        <f t="shared" si="0"/>
        <v>BAVM 178 </v>
      </c>
      <c r="B19" s="2" t="str">
        <f t="shared" si="1"/>
        <v>II</v>
      </c>
      <c r="C19" s="14">
        <f t="shared" si="2"/>
        <v>53660.307000000001</v>
      </c>
      <c r="D19" s="10" t="str">
        <f t="shared" si="3"/>
        <v>vis</v>
      </c>
      <c r="E19" s="50">
        <f>VLOOKUP(C19,Active!C$21:E$967,3,FALSE)</f>
        <v>4523.5034440550025</v>
      </c>
      <c r="F19" s="2" t="s">
        <v>67</v>
      </c>
      <c r="G19" s="10" t="str">
        <f t="shared" si="4"/>
        <v>53660.307</v>
      </c>
      <c r="H19" s="14">
        <f t="shared" si="5"/>
        <v>4523.5</v>
      </c>
      <c r="I19" s="51" t="s">
        <v>295</v>
      </c>
      <c r="J19" s="52" t="s">
        <v>296</v>
      </c>
      <c r="K19" s="51" t="s">
        <v>297</v>
      </c>
      <c r="L19" s="51" t="s">
        <v>298</v>
      </c>
      <c r="M19" s="52" t="s">
        <v>282</v>
      </c>
      <c r="N19" s="52" t="s">
        <v>260</v>
      </c>
      <c r="O19" s="53" t="s">
        <v>299</v>
      </c>
      <c r="P19" s="54" t="s">
        <v>284</v>
      </c>
    </row>
    <row r="20" spans="1:16" ht="12.75" customHeight="1" thickBot="1" x14ac:dyDescent="0.25">
      <c r="A20" s="14" t="str">
        <f t="shared" si="0"/>
        <v>BAVM 183 </v>
      </c>
      <c r="B20" s="2" t="str">
        <f t="shared" si="1"/>
        <v>I</v>
      </c>
      <c r="C20" s="14">
        <f t="shared" si="2"/>
        <v>53934.57</v>
      </c>
      <c r="D20" s="10" t="str">
        <f t="shared" si="3"/>
        <v>CCD</v>
      </c>
      <c r="E20" s="50">
        <f>VLOOKUP(C20,Active!C$21:E$967,3,FALSE)</f>
        <v>4653.0217297061427</v>
      </c>
      <c r="F20" s="2" t="str">
        <f>LEFT(M20,1)</f>
        <v>C</v>
      </c>
      <c r="G20" s="10" t="str">
        <f t="shared" si="4"/>
        <v>53934.5700</v>
      </c>
      <c r="H20" s="14">
        <f t="shared" si="5"/>
        <v>4653</v>
      </c>
      <c r="I20" s="51" t="s">
        <v>306</v>
      </c>
      <c r="J20" s="52" t="s">
        <v>307</v>
      </c>
      <c r="K20" s="51" t="s">
        <v>308</v>
      </c>
      <c r="L20" s="51" t="s">
        <v>309</v>
      </c>
      <c r="M20" s="52" t="s">
        <v>282</v>
      </c>
      <c r="N20" s="52" t="s">
        <v>260</v>
      </c>
      <c r="O20" s="53" t="s">
        <v>299</v>
      </c>
      <c r="P20" s="54" t="s">
        <v>310</v>
      </c>
    </row>
    <row r="21" spans="1:16" ht="12.75" customHeight="1" thickBot="1" x14ac:dyDescent="0.25">
      <c r="A21" s="14" t="str">
        <f t="shared" si="0"/>
        <v>BAVM 215 </v>
      </c>
      <c r="B21" s="2" t="str">
        <f t="shared" si="1"/>
        <v>I</v>
      </c>
      <c r="C21" s="14">
        <f t="shared" si="2"/>
        <v>55429.577700000002</v>
      </c>
      <c r="D21" s="10" t="str">
        <f t="shared" si="3"/>
        <v>vis</v>
      </c>
      <c r="E21" s="50">
        <f>VLOOKUP(C21,Active!C$21:E$967,3,FALSE)</f>
        <v>5359.0259458754927</v>
      </c>
      <c r="F21" s="2" t="s">
        <v>67</v>
      </c>
      <c r="G21" s="10" t="str">
        <f t="shared" si="4"/>
        <v>55429.5777</v>
      </c>
      <c r="H21" s="14">
        <f t="shared" si="5"/>
        <v>5359</v>
      </c>
      <c r="I21" s="51" t="s">
        <v>331</v>
      </c>
      <c r="J21" s="52" t="s">
        <v>332</v>
      </c>
      <c r="K21" s="51" t="s">
        <v>333</v>
      </c>
      <c r="L21" s="51" t="s">
        <v>334</v>
      </c>
      <c r="M21" s="52" t="s">
        <v>282</v>
      </c>
      <c r="N21" s="52">
        <v>0</v>
      </c>
      <c r="O21" s="53" t="s">
        <v>283</v>
      </c>
      <c r="P21" s="54" t="s">
        <v>335</v>
      </c>
    </row>
    <row r="22" spans="1:16" ht="12.75" customHeight="1" thickBot="1" x14ac:dyDescent="0.25">
      <c r="A22" s="14" t="str">
        <f t="shared" si="0"/>
        <v>BAVM 220 </v>
      </c>
      <c r="B22" s="2" t="str">
        <f t="shared" si="1"/>
        <v>I</v>
      </c>
      <c r="C22" s="14">
        <f t="shared" si="2"/>
        <v>55480.391100000001</v>
      </c>
      <c r="D22" s="10" t="str">
        <f t="shared" si="3"/>
        <v>vis</v>
      </c>
      <c r="E22" s="50">
        <f>VLOOKUP(C22,Active!C$21:E$967,3,FALSE)</f>
        <v>5383.0221263887433</v>
      </c>
      <c r="F22" s="2" t="s">
        <v>67</v>
      </c>
      <c r="G22" s="10" t="str">
        <f t="shared" si="4"/>
        <v>55480.3911</v>
      </c>
      <c r="H22" s="14">
        <f t="shared" si="5"/>
        <v>5383</v>
      </c>
      <c r="I22" s="51" t="s">
        <v>336</v>
      </c>
      <c r="J22" s="52" t="s">
        <v>337</v>
      </c>
      <c r="K22" s="51">
        <v>5383</v>
      </c>
      <c r="L22" s="51" t="s">
        <v>338</v>
      </c>
      <c r="M22" s="52" t="s">
        <v>282</v>
      </c>
      <c r="N22" s="52" t="s">
        <v>67</v>
      </c>
      <c r="O22" s="53" t="s">
        <v>339</v>
      </c>
      <c r="P22" s="54" t="s">
        <v>340</v>
      </c>
    </row>
    <row r="23" spans="1:16" ht="12.75" customHeight="1" thickBot="1" x14ac:dyDescent="0.25">
      <c r="A23" s="14" t="str">
        <f t="shared" si="0"/>
        <v>BAVM 215 </v>
      </c>
      <c r="B23" s="2" t="str">
        <f t="shared" si="1"/>
        <v>II</v>
      </c>
      <c r="C23" s="14">
        <f t="shared" si="2"/>
        <v>55481.4499</v>
      </c>
      <c r="D23" s="10" t="str">
        <f t="shared" si="3"/>
        <v>vis</v>
      </c>
      <c r="E23" s="50">
        <f>VLOOKUP(C23,Active!C$21:E$967,3,FALSE)</f>
        <v>5383.5221353613251</v>
      </c>
      <c r="F23" s="2" t="s">
        <v>67</v>
      </c>
      <c r="G23" s="10" t="str">
        <f t="shared" si="4"/>
        <v>55481.4499</v>
      </c>
      <c r="H23" s="14">
        <f t="shared" si="5"/>
        <v>5383.5</v>
      </c>
      <c r="I23" s="51" t="s">
        <v>341</v>
      </c>
      <c r="J23" s="52" t="s">
        <v>342</v>
      </c>
      <c r="K23" s="51">
        <v>5383.5</v>
      </c>
      <c r="L23" s="51" t="s">
        <v>338</v>
      </c>
      <c r="M23" s="52" t="s">
        <v>282</v>
      </c>
      <c r="N23" s="52" t="s">
        <v>254</v>
      </c>
      <c r="O23" s="53" t="s">
        <v>299</v>
      </c>
      <c r="P23" s="54" t="s">
        <v>335</v>
      </c>
    </row>
    <row r="24" spans="1:16" ht="12.75" customHeight="1" thickBot="1" x14ac:dyDescent="0.25">
      <c r="A24" s="14" t="str">
        <f t="shared" si="0"/>
        <v>BAVM 231 </v>
      </c>
      <c r="B24" s="2" t="str">
        <f t="shared" si="1"/>
        <v>II</v>
      </c>
      <c r="C24" s="14">
        <f t="shared" si="2"/>
        <v>56167.584999999999</v>
      </c>
      <c r="D24" s="10" t="str">
        <f t="shared" si="3"/>
        <v>vis</v>
      </c>
      <c r="E24" s="50">
        <f>VLOOKUP(C24,Active!C$21:E$967,3,FALSE)</f>
        <v>5707.5433918817953</v>
      </c>
      <c r="F24" s="2" t="s">
        <v>67</v>
      </c>
      <c r="G24" s="10" t="str">
        <f t="shared" si="4"/>
        <v>56167.585</v>
      </c>
      <c r="H24" s="14">
        <f t="shared" si="5"/>
        <v>5707.5</v>
      </c>
      <c r="I24" s="51" t="s">
        <v>349</v>
      </c>
      <c r="J24" s="52" t="s">
        <v>350</v>
      </c>
      <c r="K24" s="51" t="s">
        <v>351</v>
      </c>
      <c r="L24" s="51" t="s">
        <v>352</v>
      </c>
      <c r="M24" s="52" t="s">
        <v>282</v>
      </c>
      <c r="N24" s="52" t="s">
        <v>67</v>
      </c>
      <c r="O24" s="53" t="s">
        <v>299</v>
      </c>
      <c r="P24" s="54" t="s">
        <v>353</v>
      </c>
    </row>
    <row r="25" spans="1:16" ht="12.75" customHeight="1" thickBot="1" x14ac:dyDescent="0.25">
      <c r="A25" s="14" t="str">
        <f t="shared" si="0"/>
        <v>BAVM 238 </v>
      </c>
      <c r="B25" s="2" t="str">
        <f t="shared" si="1"/>
        <v>I</v>
      </c>
      <c r="C25" s="14">
        <f t="shared" si="2"/>
        <v>56886.462399999997</v>
      </c>
      <c r="D25" s="10" t="str">
        <f t="shared" si="3"/>
        <v>vis</v>
      </c>
      <c r="E25" s="50">
        <f>VLOOKUP(C25,Active!C$21:E$967,3,FALSE)</f>
        <v>6047.0269111364842</v>
      </c>
      <c r="F25" s="2" t="s">
        <v>67</v>
      </c>
      <c r="G25" s="10" t="str">
        <f t="shared" si="4"/>
        <v>56886.4624</v>
      </c>
      <c r="H25" s="14">
        <f t="shared" si="5"/>
        <v>6047</v>
      </c>
      <c r="I25" s="51" t="s">
        <v>354</v>
      </c>
      <c r="J25" s="52" t="s">
        <v>355</v>
      </c>
      <c r="K25" s="51" t="s">
        <v>356</v>
      </c>
      <c r="L25" s="51" t="s">
        <v>357</v>
      </c>
      <c r="M25" s="52" t="s">
        <v>282</v>
      </c>
      <c r="N25" s="52">
        <v>0</v>
      </c>
      <c r="O25" s="53" t="s">
        <v>283</v>
      </c>
      <c r="P25" s="54" t="s">
        <v>358</v>
      </c>
    </row>
    <row r="26" spans="1:16" ht="12.75" customHeight="1" thickBot="1" x14ac:dyDescent="0.25">
      <c r="A26" s="14" t="str">
        <f t="shared" si="0"/>
        <v> PZ 6.101 </v>
      </c>
      <c r="B26" s="2" t="str">
        <f t="shared" si="1"/>
        <v>I</v>
      </c>
      <c r="C26" s="14">
        <f t="shared" si="2"/>
        <v>14882.38</v>
      </c>
      <c r="D26" s="10" t="str">
        <f t="shared" si="3"/>
        <v>vis</v>
      </c>
      <c r="E26" s="50">
        <f>VLOOKUP(C26,Active!C$21:E$967,3,FALSE)</f>
        <v>-13789.030970521762</v>
      </c>
      <c r="F26" s="2" t="s">
        <v>67</v>
      </c>
      <c r="G26" s="10" t="str">
        <f t="shared" si="4"/>
        <v>14882.380</v>
      </c>
      <c r="H26" s="14">
        <f t="shared" si="5"/>
        <v>-13789</v>
      </c>
      <c r="I26" s="51" t="s">
        <v>70</v>
      </c>
      <c r="J26" s="52" t="s">
        <v>71</v>
      </c>
      <c r="K26" s="51">
        <v>-13789</v>
      </c>
      <c r="L26" s="51" t="s">
        <v>72</v>
      </c>
      <c r="M26" s="52" t="s">
        <v>73</v>
      </c>
      <c r="N26" s="52"/>
      <c r="O26" s="53" t="s">
        <v>74</v>
      </c>
      <c r="P26" s="53" t="s">
        <v>75</v>
      </c>
    </row>
    <row r="27" spans="1:16" ht="12.75" customHeight="1" thickBot="1" x14ac:dyDescent="0.25">
      <c r="A27" s="14" t="str">
        <f t="shared" si="0"/>
        <v> PZ 6.101 </v>
      </c>
      <c r="B27" s="2" t="str">
        <f t="shared" si="1"/>
        <v>I</v>
      </c>
      <c r="C27" s="14">
        <f t="shared" si="2"/>
        <v>14933.27</v>
      </c>
      <c r="D27" s="10" t="str">
        <f t="shared" si="3"/>
        <v>vis</v>
      </c>
      <c r="E27" s="50">
        <f>VLOOKUP(C27,Active!C$21:E$967,3,FALSE)</f>
        <v>-13764.998616333312</v>
      </c>
      <c r="F27" s="2" t="s">
        <v>67</v>
      </c>
      <c r="G27" s="10" t="str">
        <f t="shared" si="4"/>
        <v>14933.270</v>
      </c>
      <c r="H27" s="14">
        <f t="shared" si="5"/>
        <v>-13765</v>
      </c>
      <c r="I27" s="51" t="s">
        <v>76</v>
      </c>
      <c r="J27" s="52" t="s">
        <v>77</v>
      </c>
      <c r="K27" s="51">
        <v>-13765</v>
      </c>
      <c r="L27" s="51" t="s">
        <v>78</v>
      </c>
      <c r="M27" s="52" t="s">
        <v>73</v>
      </c>
      <c r="N27" s="52"/>
      <c r="O27" s="53" t="s">
        <v>74</v>
      </c>
      <c r="P27" s="53" t="s">
        <v>75</v>
      </c>
    </row>
    <row r="28" spans="1:16" ht="12.75" customHeight="1" thickBot="1" x14ac:dyDescent="0.25">
      <c r="A28" s="14" t="str">
        <f t="shared" si="0"/>
        <v> PZ 5.212 </v>
      </c>
      <c r="B28" s="2" t="str">
        <f t="shared" si="1"/>
        <v>I</v>
      </c>
      <c r="C28" s="14">
        <f t="shared" si="2"/>
        <v>28081.22</v>
      </c>
      <c r="D28" s="10" t="str">
        <f t="shared" si="3"/>
        <v>vis</v>
      </c>
      <c r="E28" s="50">
        <f>VLOOKUP(C28,Active!C$21:E$967,3,FALSE)</f>
        <v>-7555.9950546902528</v>
      </c>
      <c r="F28" s="2" t="s">
        <v>67</v>
      </c>
      <c r="G28" s="10" t="str">
        <f t="shared" si="4"/>
        <v>28081.22</v>
      </c>
      <c r="H28" s="14">
        <f t="shared" si="5"/>
        <v>-7556</v>
      </c>
      <c r="I28" s="51" t="s">
        <v>79</v>
      </c>
      <c r="J28" s="52" t="s">
        <v>80</v>
      </c>
      <c r="K28" s="51">
        <v>-7556</v>
      </c>
      <c r="L28" s="51" t="s">
        <v>81</v>
      </c>
      <c r="M28" s="52" t="s">
        <v>73</v>
      </c>
      <c r="N28" s="52"/>
      <c r="O28" s="53" t="s">
        <v>82</v>
      </c>
      <c r="P28" s="53" t="s">
        <v>83</v>
      </c>
    </row>
    <row r="29" spans="1:16" ht="12.75" customHeight="1" thickBot="1" x14ac:dyDescent="0.25">
      <c r="A29" s="14" t="str">
        <f t="shared" si="0"/>
        <v> TKZ 33.121 </v>
      </c>
      <c r="B29" s="2" t="str">
        <f t="shared" si="1"/>
        <v>I</v>
      </c>
      <c r="C29" s="14">
        <f t="shared" si="2"/>
        <v>28661.417000000001</v>
      </c>
      <c r="D29" s="10" t="str">
        <f t="shared" si="3"/>
        <v>vis</v>
      </c>
      <c r="E29" s="50">
        <f>VLOOKUP(C29,Active!C$21:E$967,3,FALSE)</f>
        <v>-7282.002132641217</v>
      </c>
      <c r="F29" s="2" t="s">
        <v>67</v>
      </c>
      <c r="G29" s="10" t="str">
        <f t="shared" si="4"/>
        <v>28661.417</v>
      </c>
      <c r="H29" s="14">
        <f t="shared" si="5"/>
        <v>-7282</v>
      </c>
      <c r="I29" s="51" t="s">
        <v>84</v>
      </c>
      <c r="J29" s="52" t="s">
        <v>85</v>
      </c>
      <c r="K29" s="51">
        <v>-7282</v>
      </c>
      <c r="L29" s="51" t="s">
        <v>86</v>
      </c>
      <c r="M29" s="52" t="s">
        <v>69</v>
      </c>
      <c r="N29" s="52"/>
      <c r="O29" s="53" t="s">
        <v>87</v>
      </c>
      <c r="P29" s="53" t="s">
        <v>88</v>
      </c>
    </row>
    <row r="30" spans="1:16" ht="12.75" customHeight="1" thickBot="1" x14ac:dyDescent="0.25">
      <c r="A30" s="14" t="str">
        <f t="shared" si="0"/>
        <v> PZ 6.101 </v>
      </c>
      <c r="B30" s="2" t="str">
        <f t="shared" si="1"/>
        <v>I</v>
      </c>
      <c r="C30" s="14">
        <f t="shared" si="2"/>
        <v>28746.13</v>
      </c>
      <c r="D30" s="10" t="str">
        <f t="shared" si="3"/>
        <v>vis</v>
      </c>
      <c r="E30" s="50">
        <f>VLOOKUP(C30,Active!C$21:E$967,3,FALSE)</f>
        <v>-7241.9971646638924</v>
      </c>
      <c r="F30" s="2" t="s">
        <v>67</v>
      </c>
      <c r="G30" s="10" t="str">
        <f t="shared" si="4"/>
        <v>28746.130</v>
      </c>
      <c r="H30" s="14">
        <f t="shared" si="5"/>
        <v>-7242</v>
      </c>
      <c r="I30" s="51" t="s">
        <v>89</v>
      </c>
      <c r="J30" s="52" t="s">
        <v>90</v>
      </c>
      <c r="K30" s="51">
        <v>-7242</v>
      </c>
      <c r="L30" s="51" t="s">
        <v>91</v>
      </c>
      <c r="M30" s="52" t="s">
        <v>73</v>
      </c>
      <c r="N30" s="52"/>
      <c r="O30" s="53" t="s">
        <v>74</v>
      </c>
      <c r="P30" s="53" t="s">
        <v>75</v>
      </c>
    </row>
    <row r="31" spans="1:16" ht="12.75" customHeight="1" thickBot="1" x14ac:dyDescent="0.25">
      <c r="A31" s="14" t="str">
        <f t="shared" si="0"/>
        <v> PZ 5.212 </v>
      </c>
      <c r="B31" s="2" t="str">
        <f t="shared" si="1"/>
        <v>I</v>
      </c>
      <c r="C31" s="14">
        <f t="shared" si="2"/>
        <v>28750.33</v>
      </c>
      <c r="D31" s="10" t="str">
        <f t="shared" si="3"/>
        <v>vis</v>
      </c>
      <c r="E31" s="50">
        <f>VLOOKUP(C31,Active!C$21:E$967,3,FALSE)</f>
        <v>-7240.0137516634695</v>
      </c>
      <c r="F31" s="2" t="s">
        <v>67</v>
      </c>
      <c r="G31" s="10" t="str">
        <f t="shared" si="4"/>
        <v>28750.33</v>
      </c>
      <c r="H31" s="14">
        <f t="shared" si="5"/>
        <v>-7240</v>
      </c>
      <c r="I31" s="51" t="s">
        <v>92</v>
      </c>
      <c r="J31" s="52" t="s">
        <v>93</v>
      </c>
      <c r="K31" s="51">
        <v>-7240</v>
      </c>
      <c r="L31" s="51" t="s">
        <v>94</v>
      </c>
      <c r="M31" s="52" t="s">
        <v>73</v>
      </c>
      <c r="N31" s="52"/>
      <c r="O31" s="53" t="s">
        <v>82</v>
      </c>
      <c r="P31" s="53" t="s">
        <v>83</v>
      </c>
    </row>
    <row r="32" spans="1:16" ht="12.75" customHeight="1" thickBot="1" x14ac:dyDescent="0.25">
      <c r="A32" s="14" t="str">
        <f t="shared" si="0"/>
        <v> PZ 6.101 </v>
      </c>
      <c r="B32" s="2" t="str">
        <f t="shared" si="1"/>
        <v>I</v>
      </c>
      <c r="C32" s="14">
        <f t="shared" si="2"/>
        <v>28750.36</v>
      </c>
      <c r="D32" s="10" t="str">
        <f t="shared" si="3"/>
        <v>vis</v>
      </c>
      <c r="E32" s="50">
        <f>VLOOKUP(C32,Active!C$21:E$967,3,FALSE)</f>
        <v>-7239.9995844277528</v>
      </c>
      <c r="F32" s="2" t="s">
        <v>67</v>
      </c>
      <c r="G32" s="10" t="str">
        <f t="shared" si="4"/>
        <v>28750.360</v>
      </c>
      <c r="H32" s="14">
        <f t="shared" si="5"/>
        <v>-7240</v>
      </c>
      <c r="I32" s="51" t="s">
        <v>95</v>
      </c>
      <c r="J32" s="52" t="s">
        <v>96</v>
      </c>
      <c r="K32" s="51">
        <v>-7240</v>
      </c>
      <c r="L32" s="51" t="s">
        <v>97</v>
      </c>
      <c r="M32" s="52" t="s">
        <v>73</v>
      </c>
      <c r="N32" s="52"/>
      <c r="O32" s="53" t="s">
        <v>74</v>
      </c>
      <c r="P32" s="53" t="s">
        <v>75</v>
      </c>
    </row>
    <row r="33" spans="1:16" ht="12.75" customHeight="1" thickBot="1" x14ac:dyDescent="0.25">
      <c r="A33" s="14" t="str">
        <f t="shared" si="0"/>
        <v> PZ 6.101 </v>
      </c>
      <c r="B33" s="2" t="str">
        <f t="shared" si="1"/>
        <v>I</v>
      </c>
      <c r="C33" s="14">
        <f t="shared" si="2"/>
        <v>28752.44</v>
      </c>
      <c r="D33" s="10" t="str">
        <f t="shared" si="3"/>
        <v>vis</v>
      </c>
      <c r="E33" s="50">
        <f>VLOOKUP(C33,Active!C$21:E$967,3,FALSE)</f>
        <v>-7239.0173227513542</v>
      </c>
      <c r="F33" s="2" t="s">
        <v>67</v>
      </c>
      <c r="G33" s="10" t="str">
        <f t="shared" si="4"/>
        <v>28752.440</v>
      </c>
      <c r="H33" s="14">
        <f t="shared" si="5"/>
        <v>-7239</v>
      </c>
      <c r="I33" s="51" t="s">
        <v>98</v>
      </c>
      <c r="J33" s="52" t="s">
        <v>99</v>
      </c>
      <c r="K33" s="51">
        <v>-7239</v>
      </c>
      <c r="L33" s="51" t="s">
        <v>100</v>
      </c>
      <c r="M33" s="52" t="s">
        <v>73</v>
      </c>
      <c r="N33" s="52"/>
      <c r="O33" s="53" t="s">
        <v>74</v>
      </c>
      <c r="P33" s="53" t="s">
        <v>75</v>
      </c>
    </row>
    <row r="34" spans="1:16" ht="12.75" customHeight="1" thickBot="1" x14ac:dyDescent="0.25">
      <c r="A34" s="14" t="str">
        <f t="shared" si="0"/>
        <v> TKZ 33.121 </v>
      </c>
      <c r="B34" s="2" t="str">
        <f t="shared" si="1"/>
        <v>I</v>
      </c>
      <c r="C34" s="14">
        <f t="shared" si="2"/>
        <v>28805.405999999999</v>
      </c>
      <c r="D34" s="10" t="str">
        <f t="shared" si="3"/>
        <v>vis</v>
      </c>
      <c r="E34" s="50">
        <f>VLOOKUP(C34,Active!C$21:E$967,3,FALSE)</f>
        <v>-7214.0045958512683</v>
      </c>
      <c r="F34" s="2" t="s">
        <v>67</v>
      </c>
      <c r="G34" s="10" t="str">
        <f t="shared" si="4"/>
        <v>28805.406</v>
      </c>
      <c r="H34" s="14">
        <f t="shared" si="5"/>
        <v>-7214</v>
      </c>
      <c r="I34" s="51" t="s">
        <v>101</v>
      </c>
      <c r="J34" s="52" t="s">
        <v>102</v>
      </c>
      <c r="K34" s="51">
        <v>-7214</v>
      </c>
      <c r="L34" s="51" t="s">
        <v>103</v>
      </c>
      <c r="M34" s="52" t="s">
        <v>69</v>
      </c>
      <c r="N34" s="52"/>
      <c r="O34" s="53" t="s">
        <v>87</v>
      </c>
      <c r="P34" s="53" t="s">
        <v>88</v>
      </c>
    </row>
    <row r="35" spans="1:16" ht="12.75" customHeight="1" thickBot="1" x14ac:dyDescent="0.25">
      <c r="A35" s="14" t="str">
        <f t="shared" si="0"/>
        <v> TKZ 33.121 </v>
      </c>
      <c r="B35" s="2" t="str">
        <f t="shared" si="1"/>
        <v>I</v>
      </c>
      <c r="C35" s="14">
        <f t="shared" si="2"/>
        <v>28805.425999999999</v>
      </c>
      <c r="D35" s="10" t="str">
        <f t="shared" si="3"/>
        <v>vis</v>
      </c>
      <c r="E35" s="50">
        <f>VLOOKUP(C35,Active!C$21:E$967,3,FALSE)</f>
        <v>-7213.9951510274568</v>
      </c>
      <c r="F35" s="2" t="s">
        <v>67</v>
      </c>
      <c r="G35" s="10" t="str">
        <f t="shared" si="4"/>
        <v>28805.426</v>
      </c>
      <c r="H35" s="14">
        <f t="shared" si="5"/>
        <v>-7214</v>
      </c>
      <c r="I35" s="51" t="s">
        <v>104</v>
      </c>
      <c r="J35" s="52" t="s">
        <v>105</v>
      </c>
      <c r="K35" s="51">
        <v>-7214</v>
      </c>
      <c r="L35" s="51" t="s">
        <v>106</v>
      </c>
      <c r="M35" s="52" t="s">
        <v>69</v>
      </c>
      <c r="N35" s="52"/>
      <c r="O35" s="53" t="s">
        <v>87</v>
      </c>
      <c r="P35" s="53" t="s">
        <v>88</v>
      </c>
    </row>
    <row r="36" spans="1:16" ht="12.75" customHeight="1" thickBot="1" x14ac:dyDescent="0.25">
      <c r="A36" s="14" t="str">
        <f t="shared" si="0"/>
        <v> PZ 6.101 </v>
      </c>
      <c r="B36" s="2" t="str">
        <f t="shared" si="1"/>
        <v>I</v>
      </c>
      <c r="C36" s="14">
        <f t="shared" si="2"/>
        <v>29127.33</v>
      </c>
      <c r="D36" s="10" t="str">
        <f t="shared" si="3"/>
        <v>vis</v>
      </c>
      <c r="E36" s="50">
        <f>VLOOKUP(C36,Active!C$21:E$967,3,FALSE)</f>
        <v>-7061.9788228160496</v>
      </c>
      <c r="F36" s="2" t="s">
        <v>67</v>
      </c>
      <c r="G36" s="10" t="str">
        <f t="shared" si="4"/>
        <v>29127.330</v>
      </c>
      <c r="H36" s="14">
        <f t="shared" si="5"/>
        <v>-7062</v>
      </c>
      <c r="I36" s="51" t="s">
        <v>107</v>
      </c>
      <c r="J36" s="52" t="s">
        <v>108</v>
      </c>
      <c r="K36" s="51">
        <v>-7062</v>
      </c>
      <c r="L36" s="51" t="s">
        <v>109</v>
      </c>
      <c r="M36" s="52" t="s">
        <v>73</v>
      </c>
      <c r="N36" s="52"/>
      <c r="O36" s="53" t="s">
        <v>74</v>
      </c>
      <c r="P36" s="53" t="s">
        <v>75</v>
      </c>
    </row>
    <row r="37" spans="1:16" ht="12.75" customHeight="1" thickBot="1" x14ac:dyDescent="0.25">
      <c r="A37" s="14" t="str">
        <f t="shared" si="0"/>
        <v> PZ 6.101 </v>
      </c>
      <c r="B37" s="2" t="str">
        <f t="shared" si="1"/>
        <v>I</v>
      </c>
      <c r="C37" s="14">
        <f t="shared" si="2"/>
        <v>29165.43</v>
      </c>
      <c r="D37" s="10" t="str">
        <f t="shared" si="3"/>
        <v>vis</v>
      </c>
      <c r="E37" s="50">
        <f>VLOOKUP(C37,Active!C$21:E$967,3,FALSE)</f>
        <v>-7043.9864334550775</v>
      </c>
      <c r="F37" s="2" t="s">
        <v>67</v>
      </c>
      <c r="G37" s="10" t="str">
        <f t="shared" si="4"/>
        <v>29165.430</v>
      </c>
      <c r="H37" s="14">
        <f t="shared" si="5"/>
        <v>-7044</v>
      </c>
      <c r="I37" s="51" t="s">
        <v>110</v>
      </c>
      <c r="J37" s="52" t="s">
        <v>111</v>
      </c>
      <c r="K37" s="51">
        <v>-7044</v>
      </c>
      <c r="L37" s="51" t="s">
        <v>112</v>
      </c>
      <c r="M37" s="52" t="s">
        <v>73</v>
      </c>
      <c r="N37" s="52"/>
      <c r="O37" s="53" t="s">
        <v>74</v>
      </c>
      <c r="P37" s="53" t="s">
        <v>75</v>
      </c>
    </row>
    <row r="38" spans="1:16" ht="12.75" customHeight="1" thickBot="1" x14ac:dyDescent="0.25">
      <c r="A38" s="14" t="str">
        <f t="shared" si="0"/>
        <v> PZ 6.101 </v>
      </c>
      <c r="B38" s="2" t="str">
        <f t="shared" si="1"/>
        <v>I</v>
      </c>
      <c r="C38" s="14">
        <f t="shared" si="2"/>
        <v>29468.2</v>
      </c>
      <c r="D38" s="10" t="str">
        <f t="shared" si="3"/>
        <v>vis</v>
      </c>
      <c r="E38" s="50">
        <f>VLOOKUP(C38,Active!C$21:E$967,3,FALSE)</f>
        <v>-6901.0059681841667</v>
      </c>
      <c r="F38" s="2" t="s">
        <v>67</v>
      </c>
      <c r="G38" s="10" t="str">
        <f t="shared" si="4"/>
        <v>29468.200</v>
      </c>
      <c r="H38" s="14">
        <f t="shared" si="5"/>
        <v>-6901</v>
      </c>
      <c r="I38" s="51" t="s">
        <v>113</v>
      </c>
      <c r="J38" s="52" t="s">
        <v>114</v>
      </c>
      <c r="K38" s="51">
        <v>-6901</v>
      </c>
      <c r="L38" s="51" t="s">
        <v>115</v>
      </c>
      <c r="M38" s="52" t="s">
        <v>73</v>
      </c>
      <c r="N38" s="52"/>
      <c r="O38" s="53" t="s">
        <v>74</v>
      </c>
      <c r="P38" s="53" t="s">
        <v>75</v>
      </c>
    </row>
    <row r="39" spans="1:16" ht="12.75" customHeight="1" thickBot="1" x14ac:dyDescent="0.25">
      <c r="A39" s="14" t="str">
        <f t="shared" si="0"/>
        <v> PZ 6.101 </v>
      </c>
      <c r="B39" s="2" t="str">
        <f t="shared" si="1"/>
        <v>I</v>
      </c>
      <c r="C39" s="14">
        <f t="shared" si="2"/>
        <v>29726.52</v>
      </c>
      <c r="D39" s="10" t="str">
        <f t="shared" si="3"/>
        <v>vis</v>
      </c>
      <c r="E39" s="50">
        <f>VLOOKUP(C39,Active!C$21:E$967,3,FALSE)</f>
        <v>-6779.0166238343918</v>
      </c>
      <c r="F39" s="2" t="s">
        <v>67</v>
      </c>
      <c r="G39" s="10" t="str">
        <f t="shared" si="4"/>
        <v>29726.520</v>
      </c>
      <c r="H39" s="14">
        <f t="shared" si="5"/>
        <v>-6779</v>
      </c>
      <c r="I39" s="51" t="s">
        <v>116</v>
      </c>
      <c r="J39" s="52" t="s">
        <v>117</v>
      </c>
      <c r="K39" s="51">
        <v>-6779</v>
      </c>
      <c r="L39" s="51" t="s">
        <v>118</v>
      </c>
      <c r="M39" s="52" t="s">
        <v>73</v>
      </c>
      <c r="N39" s="52"/>
      <c r="O39" s="53" t="s">
        <v>74</v>
      </c>
      <c r="P39" s="53" t="s">
        <v>75</v>
      </c>
    </row>
    <row r="40" spans="1:16" ht="12.75" customHeight="1" thickBot="1" x14ac:dyDescent="0.25">
      <c r="A40" s="14" t="str">
        <f t="shared" si="0"/>
        <v> AHSB 6.1.77 </v>
      </c>
      <c r="B40" s="2" t="str">
        <f t="shared" si="1"/>
        <v>I</v>
      </c>
      <c r="C40" s="14">
        <f t="shared" si="2"/>
        <v>32477.26</v>
      </c>
      <c r="D40" s="10" t="str">
        <f t="shared" si="3"/>
        <v>vis</v>
      </c>
      <c r="E40" s="50">
        <f>VLOOKUP(C40,Active!C$21:E$967,3,FALSE)</f>
        <v>-5480.0038912674117</v>
      </c>
      <c r="F40" s="2" t="s">
        <v>67</v>
      </c>
      <c r="G40" s="10" t="str">
        <f t="shared" si="4"/>
        <v>32477.260</v>
      </c>
      <c r="H40" s="14">
        <f t="shared" si="5"/>
        <v>-5480</v>
      </c>
      <c r="I40" s="51" t="s">
        <v>119</v>
      </c>
      <c r="J40" s="52" t="s">
        <v>120</v>
      </c>
      <c r="K40" s="51">
        <v>-5480</v>
      </c>
      <c r="L40" s="51" t="s">
        <v>121</v>
      </c>
      <c r="M40" s="52" t="s">
        <v>73</v>
      </c>
      <c r="N40" s="52"/>
      <c r="O40" s="53" t="s">
        <v>122</v>
      </c>
      <c r="P40" s="53" t="s">
        <v>123</v>
      </c>
    </row>
    <row r="41" spans="1:16" ht="12.75" customHeight="1" thickBot="1" x14ac:dyDescent="0.25">
      <c r="A41" s="14" t="str">
        <f t="shared" si="0"/>
        <v> AJ 59.455 </v>
      </c>
      <c r="B41" s="2" t="str">
        <f t="shared" si="1"/>
        <v>I</v>
      </c>
      <c r="C41" s="14">
        <f t="shared" si="2"/>
        <v>32794.896000000001</v>
      </c>
      <c r="D41" s="10" t="str">
        <f t="shared" si="3"/>
        <v>vis</v>
      </c>
      <c r="E41" s="50">
        <f>VLOOKUP(C41,Active!C$21:E$967,3,FALSE)</f>
        <v>-5330.0030884573871</v>
      </c>
      <c r="F41" s="2" t="s">
        <v>67</v>
      </c>
      <c r="G41" s="10" t="str">
        <f t="shared" si="4"/>
        <v>32794.896</v>
      </c>
      <c r="H41" s="14">
        <f t="shared" si="5"/>
        <v>-5330</v>
      </c>
      <c r="I41" s="51" t="s">
        <v>124</v>
      </c>
      <c r="J41" s="52" t="s">
        <v>125</v>
      </c>
      <c r="K41" s="51">
        <v>-5330</v>
      </c>
      <c r="L41" s="51" t="s">
        <v>126</v>
      </c>
      <c r="M41" s="52" t="s">
        <v>69</v>
      </c>
      <c r="N41" s="52"/>
      <c r="O41" s="53" t="s">
        <v>127</v>
      </c>
      <c r="P41" s="53" t="s">
        <v>128</v>
      </c>
    </row>
    <row r="42" spans="1:16" ht="12.75" customHeight="1" thickBot="1" x14ac:dyDescent="0.25">
      <c r="A42" s="14" t="str">
        <f t="shared" si="0"/>
        <v> AHSB 6.1.77 </v>
      </c>
      <c r="B42" s="2" t="str">
        <f t="shared" si="1"/>
        <v>I</v>
      </c>
      <c r="C42" s="14">
        <f t="shared" si="2"/>
        <v>32822.428</v>
      </c>
      <c r="D42" s="10" t="str">
        <f t="shared" si="3"/>
        <v>vis</v>
      </c>
      <c r="E42" s="50">
        <f>VLOOKUP(C42,Active!C$21:E$967,3,FALSE)</f>
        <v>-5317.0013439984295</v>
      </c>
      <c r="F42" s="2" t="s">
        <v>67</v>
      </c>
      <c r="G42" s="10" t="str">
        <f t="shared" si="4"/>
        <v>32822.428</v>
      </c>
      <c r="H42" s="14">
        <f t="shared" si="5"/>
        <v>-5317</v>
      </c>
      <c r="I42" s="51" t="s">
        <v>129</v>
      </c>
      <c r="J42" s="52" t="s">
        <v>130</v>
      </c>
      <c r="K42" s="51">
        <v>-5317</v>
      </c>
      <c r="L42" s="51" t="s">
        <v>68</v>
      </c>
      <c r="M42" s="52" t="s">
        <v>73</v>
      </c>
      <c r="N42" s="52"/>
      <c r="O42" s="53" t="s">
        <v>122</v>
      </c>
      <c r="P42" s="53" t="s">
        <v>123</v>
      </c>
    </row>
    <row r="43" spans="1:16" ht="12.75" customHeight="1" thickBot="1" x14ac:dyDescent="0.25">
      <c r="A43" s="14" t="str">
        <f t="shared" ref="A43:A74" si="6">P43</f>
        <v> AHSB 6.1.77 </v>
      </c>
      <c r="B43" s="2" t="str">
        <f t="shared" ref="B43:B74" si="7">IF(H43=INT(H43),"I","II")</f>
        <v>I</v>
      </c>
      <c r="C43" s="14">
        <f t="shared" ref="C43:C74" si="8">1*G43</f>
        <v>32907.120000000003</v>
      </c>
      <c r="D43" s="10" t="str">
        <f t="shared" ref="D43:D74" si="9">VLOOKUP(F43,I$1:J$5,2,FALSE)</f>
        <v>vis</v>
      </c>
      <c r="E43" s="50">
        <f>VLOOKUP(C43,Active!C$21:E$967,3,FALSE)</f>
        <v>-5277.006293086105</v>
      </c>
      <c r="F43" s="2" t="s">
        <v>67</v>
      </c>
      <c r="G43" s="10" t="str">
        <f t="shared" ref="G43:G74" si="10">MID(I43,3,LEN(I43)-3)</f>
        <v>32907.120</v>
      </c>
      <c r="H43" s="14">
        <f t="shared" ref="H43:H74" si="11">1*K43</f>
        <v>-5277</v>
      </c>
      <c r="I43" s="51" t="s">
        <v>131</v>
      </c>
      <c r="J43" s="52" t="s">
        <v>132</v>
      </c>
      <c r="K43" s="51">
        <v>-5277</v>
      </c>
      <c r="L43" s="51" t="s">
        <v>115</v>
      </c>
      <c r="M43" s="52" t="s">
        <v>73</v>
      </c>
      <c r="N43" s="52"/>
      <c r="O43" s="53" t="s">
        <v>122</v>
      </c>
      <c r="P43" s="53" t="s">
        <v>123</v>
      </c>
    </row>
    <row r="44" spans="1:16" ht="12.75" customHeight="1" thickBot="1" x14ac:dyDescent="0.25">
      <c r="A44" s="14" t="str">
        <f t="shared" si="6"/>
        <v> AJ 59.455 </v>
      </c>
      <c r="B44" s="2" t="str">
        <f t="shared" si="7"/>
        <v>I</v>
      </c>
      <c r="C44" s="14">
        <f t="shared" si="8"/>
        <v>33061.728000000003</v>
      </c>
      <c r="D44" s="10" t="str">
        <f t="shared" si="9"/>
        <v>vis</v>
      </c>
      <c r="E44" s="50">
        <f>VLOOKUP(C44,Active!C$21:E$967,3,FALSE)</f>
        <v>-5203.9940270934212</v>
      </c>
      <c r="F44" s="2" t="s">
        <v>67</v>
      </c>
      <c r="G44" s="10" t="str">
        <f t="shared" si="10"/>
        <v>33061.728</v>
      </c>
      <c r="H44" s="14">
        <f t="shared" si="11"/>
        <v>-5204</v>
      </c>
      <c r="I44" s="51" t="s">
        <v>133</v>
      </c>
      <c r="J44" s="52" t="s">
        <v>134</v>
      </c>
      <c r="K44" s="51">
        <v>-5204</v>
      </c>
      <c r="L44" s="51" t="s">
        <v>135</v>
      </c>
      <c r="M44" s="52" t="s">
        <v>69</v>
      </c>
      <c r="N44" s="52"/>
      <c r="O44" s="53" t="s">
        <v>127</v>
      </c>
      <c r="P44" s="53" t="s">
        <v>128</v>
      </c>
    </row>
    <row r="45" spans="1:16" ht="12.75" customHeight="1" thickBot="1" x14ac:dyDescent="0.25">
      <c r="A45" s="14" t="str">
        <f t="shared" si="6"/>
        <v> AJ 59.455 </v>
      </c>
      <c r="B45" s="2" t="str">
        <f t="shared" si="7"/>
        <v>I</v>
      </c>
      <c r="C45" s="14">
        <f t="shared" si="8"/>
        <v>33205.713000000003</v>
      </c>
      <c r="D45" s="10" t="str">
        <f t="shared" si="9"/>
        <v>vis</v>
      </c>
      <c r="E45" s="50">
        <f>VLOOKUP(C45,Active!C$21:E$967,3,FALSE)</f>
        <v>-5135.9983792682333</v>
      </c>
      <c r="F45" s="2" t="s">
        <v>67</v>
      </c>
      <c r="G45" s="10" t="str">
        <f t="shared" si="10"/>
        <v>33205.713</v>
      </c>
      <c r="H45" s="14">
        <f t="shared" si="11"/>
        <v>-5136</v>
      </c>
      <c r="I45" s="51" t="s">
        <v>136</v>
      </c>
      <c r="J45" s="52" t="s">
        <v>137</v>
      </c>
      <c r="K45" s="51">
        <v>-5136</v>
      </c>
      <c r="L45" s="51" t="s">
        <v>78</v>
      </c>
      <c r="M45" s="52" t="s">
        <v>69</v>
      </c>
      <c r="N45" s="52"/>
      <c r="O45" s="53" t="s">
        <v>127</v>
      </c>
      <c r="P45" s="53" t="s">
        <v>128</v>
      </c>
    </row>
    <row r="46" spans="1:16" ht="12.75" customHeight="1" thickBot="1" x14ac:dyDescent="0.25">
      <c r="A46" s="14" t="str">
        <f t="shared" si="6"/>
        <v> AJ 59.455 </v>
      </c>
      <c r="B46" s="2" t="str">
        <f t="shared" si="7"/>
        <v>I</v>
      </c>
      <c r="C46" s="14">
        <f t="shared" si="8"/>
        <v>33273.442999999999</v>
      </c>
      <c r="D46" s="10" t="str">
        <f t="shared" si="9"/>
        <v>vis</v>
      </c>
      <c r="E46" s="50">
        <f>VLOOKUP(C46,Active!C$21:E$967,3,FALSE)</f>
        <v>-5104.0134834304745</v>
      </c>
      <c r="F46" s="2" t="s">
        <v>67</v>
      </c>
      <c r="G46" s="10" t="str">
        <f t="shared" si="10"/>
        <v>33273.443</v>
      </c>
      <c r="H46" s="14">
        <f t="shared" si="11"/>
        <v>-5104</v>
      </c>
      <c r="I46" s="51" t="s">
        <v>138</v>
      </c>
      <c r="J46" s="52" t="s">
        <v>139</v>
      </c>
      <c r="K46" s="51">
        <v>-5104</v>
      </c>
      <c r="L46" s="51" t="s">
        <v>140</v>
      </c>
      <c r="M46" s="52" t="s">
        <v>69</v>
      </c>
      <c r="N46" s="52"/>
      <c r="O46" s="53" t="s">
        <v>127</v>
      </c>
      <c r="P46" s="53" t="s">
        <v>128</v>
      </c>
    </row>
    <row r="47" spans="1:16" ht="12.75" customHeight="1" thickBot="1" x14ac:dyDescent="0.25">
      <c r="A47" s="14" t="str">
        <f t="shared" si="6"/>
        <v> AJ 59.455 </v>
      </c>
      <c r="B47" s="2" t="str">
        <f t="shared" si="7"/>
        <v>I</v>
      </c>
      <c r="C47" s="14">
        <f t="shared" si="8"/>
        <v>33476.743000000002</v>
      </c>
      <c r="D47" s="10" t="str">
        <f t="shared" si="9"/>
        <v>vis</v>
      </c>
      <c r="E47" s="50">
        <f>VLOOKUP(C47,Active!C$21:E$967,3,FALSE)</f>
        <v>-5008.0068493862282</v>
      </c>
      <c r="F47" s="2" t="s">
        <v>67</v>
      </c>
      <c r="G47" s="10" t="str">
        <f t="shared" si="10"/>
        <v>33476.743</v>
      </c>
      <c r="H47" s="14">
        <f t="shared" si="11"/>
        <v>-5008</v>
      </c>
      <c r="I47" s="51" t="s">
        <v>141</v>
      </c>
      <c r="J47" s="52" t="s">
        <v>142</v>
      </c>
      <c r="K47" s="51">
        <v>-5008</v>
      </c>
      <c r="L47" s="51" t="s">
        <v>143</v>
      </c>
      <c r="M47" s="52" t="s">
        <v>69</v>
      </c>
      <c r="N47" s="52"/>
      <c r="O47" s="53" t="s">
        <v>127</v>
      </c>
      <c r="P47" s="53" t="s">
        <v>128</v>
      </c>
    </row>
    <row r="48" spans="1:16" ht="12.75" customHeight="1" thickBot="1" x14ac:dyDescent="0.25">
      <c r="A48" s="14" t="str">
        <f t="shared" si="6"/>
        <v> AHSB 6.1.77 </v>
      </c>
      <c r="B48" s="2" t="str">
        <f t="shared" si="7"/>
        <v>I</v>
      </c>
      <c r="C48" s="14">
        <f t="shared" si="8"/>
        <v>33506.415000000001</v>
      </c>
      <c r="D48" s="10" t="str">
        <f t="shared" si="9"/>
        <v>vis</v>
      </c>
      <c r="E48" s="50">
        <f>VLOOKUP(C48,Active!C$21:E$967,3,FALSE)</f>
        <v>-4993.9945087794367</v>
      </c>
      <c r="F48" s="2" t="s">
        <v>67</v>
      </c>
      <c r="G48" s="10" t="str">
        <f t="shared" si="10"/>
        <v>33506.415</v>
      </c>
      <c r="H48" s="14">
        <f t="shared" si="11"/>
        <v>-4994</v>
      </c>
      <c r="I48" s="51" t="s">
        <v>144</v>
      </c>
      <c r="J48" s="52" t="s">
        <v>145</v>
      </c>
      <c r="K48" s="51">
        <v>-4994</v>
      </c>
      <c r="L48" s="51" t="s">
        <v>146</v>
      </c>
      <c r="M48" s="52" t="s">
        <v>73</v>
      </c>
      <c r="N48" s="52"/>
      <c r="O48" s="53" t="s">
        <v>122</v>
      </c>
      <c r="P48" s="53" t="s">
        <v>123</v>
      </c>
    </row>
    <row r="49" spans="1:16" ht="12.75" customHeight="1" thickBot="1" x14ac:dyDescent="0.25">
      <c r="A49" s="14" t="str">
        <f t="shared" si="6"/>
        <v> PZ 11.226 </v>
      </c>
      <c r="B49" s="2" t="str">
        <f t="shared" si="7"/>
        <v>I</v>
      </c>
      <c r="C49" s="14">
        <f t="shared" si="8"/>
        <v>33540.326000000001</v>
      </c>
      <c r="D49" s="10" t="str">
        <f t="shared" si="9"/>
        <v>vis</v>
      </c>
      <c r="E49" s="50">
        <f>VLOOKUP(C49,Active!C$21:E$967,3,FALSE)</f>
        <v>-4977.98033776579</v>
      </c>
      <c r="F49" s="2" t="s">
        <v>67</v>
      </c>
      <c r="G49" s="10" t="str">
        <f t="shared" si="10"/>
        <v>33540.326</v>
      </c>
      <c r="H49" s="14">
        <f t="shared" si="11"/>
        <v>-4978</v>
      </c>
      <c r="I49" s="51" t="s">
        <v>147</v>
      </c>
      <c r="J49" s="52" t="s">
        <v>148</v>
      </c>
      <c r="K49" s="51">
        <v>-4978</v>
      </c>
      <c r="L49" s="51" t="s">
        <v>149</v>
      </c>
      <c r="M49" s="52" t="s">
        <v>73</v>
      </c>
      <c r="N49" s="52"/>
      <c r="O49" s="53" t="s">
        <v>150</v>
      </c>
      <c r="P49" s="53" t="s">
        <v>151</v>
      </c>
    </row>
    <row r="50" spans="1:16" ht="12.75" customHeight="1" thickBot="1" x14ac:dyDescent="0.25">
      <c r="A50" s="14" t="str">
        <f t="shared" si="6"/>
        <v> AHSB 6.1.77 </v>
      </c>
      <c r="B50" s="2" t="str">
        <f t="shared" si="7"/>
        <v>I</v>
      </c>
      <c r="C50" s="14">
        <f t="shared" si="8"/>
        <v>33542.402000000002</v>
      </c>
      <c r="D50" s="10" t="str">
        <f t="shared" si="9"/>
        <v>vis</v>
      </c>
      <c r="E50" s="50">
        <f>VLOOKUP(C50,Active!C$21:E$967,3,FALSE)</f>
        <v>-4976.9999650541522</v>
      </c>
      <c r="F50" s="2" t="s">
        <v>67</v>
      </c>
      <c r="G50" s="10" t="str">
        <f t="shared" si="10"/>
        <v>33542.402</v>
      </c>
      <c r="H50" s="14">
        <f t="shared" si="11"/>
        <v>-4977</v>
      </c>
      <c r="I50" s="51" t="s">
        <v>152</v>
      </c>
      <c r="J50" s="52" t="s">
        <v>153</v>
      </c>
      <c r="K50" s="51">
        <v>-4977</v>
      </c>
      <c r="L50" s="51" t="s">
        <v>154</v>
      </c>
      <c r="M50" s="52" t="s">
        <v>73</v>
      </c>
      <c r="N50" s="52"/>
      <c r="O50" s="53" t="s">
        <v>122</v>
      </c>
      <c r="P50" s="53" t="s">
        <v>123</v>
      </c>
    </row>
    <row r="51" spans="1:16" ht="12.75" customHeight="1" thickBot="1" x14ac:dyDescent="0.25">
      <c r="A51" s="14" t="str">
        <f t="shared" si="6"/>
        <v> AJ 59.455 </v>
      </c>
      <c r="B51" s="2" t="str">
        <f t="shared" si="7"/>
        <v>I</v>
      </c>
      <c r="C51" s="14">
        <f t="shared" si="8"/>
        <v>33618.629000000001</v>
      </c>
      <c r="D51" s="10" t="str">
        <f t="shared" si="9"/>
        <v>vis</v>
      </c>
      <c r="E51" s="50">
        <f>VLOOKUP(C51,Active!C$21:E$967,3,FALSE)</f>
        <v>-4941.0024358200617</v>
      </c>
      <c r="F51" s="2" t="s">
        <v>67</v>
      </c>
      <c r="G51" s="10" t="str">
        <f t="shared" si="10"/>
        <v>33618.629</v>
      </c>
      <c r="H51" s="14">
        <f t="shared" si="11"/>
        <v>-4941</v>
      </c>
      <c r="I51" s="51" t="s">
        <v>155</v>
      </c>
      <c r="J51" s="52" t="s">
        <v>156</v>
      </c>
      <c r="K51" s="51">
        <v>-4941</v>
      </c>
      <c r="L51" s="51" t="s">
        <v>86</v>
      </c>
      <c r="M51" s="52" t="s">
        <v>69</v>
      </c>
      <c r="N51" s="52"/>
      <c r="O51" s="53" t="s">
        <v>127</v>
      </c>
      <c r="P51" s="53" t="s">
        <v>128</v>
      </c>
    </row>
    <row r="52" spans="1:16" ht="12.75" customHeight="1" thickBot="1" x14ac:dyDescent="0.25">
      <c r="A52" s="14" t="str">
        <f t="shared" si="6"/>
        <v> PZ 11.226 </v>
      </c>
      <c r="B52" s="2" t="str">
        <f t="shared" si="7"/>
        <v>I</v>
      </c>
      <c r="C52" s="14">
        <f t="shared" si="8"/>
        <v>33830.425999999999</v>
      </c>
      <c r="D52" s="10" t="str">
        <f t="shared" si="9"/>
        <v>vis</v>
      </c>
      <c r="E52" s="50">
        <f>VLOOKUP(C52,Active!C$21:E$967,3,FALSE)</f>
        <v>-4840.9831683794864</v>
      </c>
      <c r="F52" s="2" t="s">
        <v>67</v>
      </c>
      <c r="G52" s="10" t="str">
        <f t="shared" si="10"/>
        <v>33830.426</v>
      </c>
      <c r="H52" s="14">
        <f t="shared" si="11"/>
        <v>-4841</v>
      </c>
      <c r="I52" s="51" t="s">
        <v>157</v>
      </c>
      <c r="J52" s="52" t="s">
        <v>158</v>
      </c>
      <c r="K52" s="51">
        <v>-4841</v>
      </c>
      <c r="L52" s="51" t="s">
        <v>159</v>
      </c>
      <c r="M52" s="52" t="s">
        <v>73</v>
      </c>
      <c r="N52" s="52"/>
      <c r="O52" s="53" t="s">
        <v>150</v>
      </c>
      <c r="P52" s="53" t="s">
        <v>151</v>
      </c>
    </row>
    <row r="53" spans="1:16" ht="12.75" customHeight="1" thickBot="1" x14ac:dyDescent="0.25">
      <c r="A53" s="14" t="str">
        <f t="shared" si="6"/>
        <v> AJ 59.455 </v>
      </c>
      <c r="B53" s="2" t="str">
        <f t="shared" si="7"/>
        <v>I</v>
      </c>
      <c r="C53" s="14">
        <f t="shared" si="8"/>
        <v>33836.739000000001</v>
      </c>
      <c r="D53" s="10" t="str">
        <f t="shared" si="9"/>
        <v>vis</v>
      </c>
      <c r="E53" s="50">
        <f>VLOOKUP(C53,Active!C$21:E$967,3,FALSE)</f>
        <v>-4838.0019097433751</v>
      </c>
      <c r="F53" s="2" t="s">
        <v>67</v>
      </c>
      <c r="G53" s="10" t="str">
        <f t="shared" si="10"/>
        <v>33836.739</v>
      </c>
      <c r="H53" s="14">
        <f t="shared" si="11"/>
        <v>-4838</v>
      </c>
      <c r="I53" s="51" t="s">
        <v>160</v>
      </c>
      <c r="J53" s="52" t="s">
        <v>161</v>
      </c>
      <c r="K53" s="51">
        <v>-4838</v>
      </c>
      <c r="L53" s="51" t="s">
        <v>162</v>
      </c>
      <c r="M53" s="52" t="s">
        <v>69</v>
      </c>
      <c r="N53" s="52"/>
      <c r="O53" s="53" t="s">
        <v>127</v>
      </c>
      <c r="P53" s="53" t="s">
        <v>128</v>
      </c>
    </row>
    <row r="54" spans="1:16" ht="12.75" customHeight="1" thickBot="1" x14ac:dyDescent="0.25">
      <c r="A54" s="14" t="str">
        <f t="shared" si="6"/>
        <v> AJ 59.455 </v>
      </c>
      <c r="B54" s="2" t="str">
        <f t="shared" si="7"/>
        <v>I</v>
      </c>
      <c r="C54" s="14">
        <f t="shared" si="8"/>
        <v>33927.785000000003</v>
      </c>
      <c r="D54" s="10" t="str">
        <f t="shared" si="9"/>
        <v>vis</v>
      </c>
      <c r="E54" s="50">
        <f>VLOOKUP(C54,Active!C$21:E$967,3,FALSE)</f>
        <v>-4795.0062383061268</v>
      </c>
      <c r="F54" s="2" t="s">
        <v>67</v>
      </c>
      <c r="G54" s="10" t="str">
        <f t="shared" si="10"/>
        <v>33927.785</v>
      </c>
      <c r="H54" s="14">
        <f t="shared" si="11"/>
        <v>-4795</v>
      </c>
      <c r="I54" s="51" t="s">
        <v>163</v>
      </c>
      <c r="J54" s="52" t="s">
        <v>164</v>
      </c>
      <c r="K54" s="51">
        <v>-4795</v>
      </c>
      <c r="L54" s="51" t="s">
        <v>115</v>
      </c>
      <c r="M54" s="52" t="s">
        <v>69</v>
      </c>
      <c r="N54" s="52"/>
      <c r="O54" s="53" t="s">
        <v>127</v>
      </c>
      <c r="P54" s="53" t="s">
        <v>128</v>
      </c>
    </row>
    <row r="55" spans="1:16" ht="12.75" customHeight="1" thickBot="1" x14ac:dyDescent="0.25">
      <c r="A55" s="14" t="str">
        <f t="shared" si="6"/>
        <v> AHSB 6.1.77 </v>
      </c>
      <c r="B55" s="2" t="str">
        <f t="shared" si="7"/>
        <v>I</v>
      </c>
      <c r="C55" s="14">
        <f t="shared" si="8"/>
        <v>34122.605000000003</v>
      </c>
      <c r="D55" s="10" t="str">
        <f t="shared" si="9"/>
        <v>vis</v>
      </c>
      <c r="E55" s="50">
        <f>VLOOKUP(C55,Active!C$21:E$967,3,FALSE)</f>
        <v>-4703.004209557972</v>
      </c>
      <c r="F55" s="2" t="s">
        <v>67</v>
      </c>
      <c r="G55" s="10" t="str">
        <f t="shared" si="10"/>
        <v>34122.605</v>
      </c>
      <c r="H55" s="14">
        <f t="shared" si="11"/>
        <v>-4703</v>
      </c>
      <c r="I55" s="51" t="s">
        <v>165</v>
      </c>
      <c r="J55" s="52" t="s">
        <v>166</v>
      </c>
      <c r="K55" s="51">
        <v>-4703</v>
      </c>
      <c r="L55" s="51" t="s">
        <v>167</v>
      </c>
      <c r="M55" s="52" t="s">
        <v>73</v>
      </c>
      <c r="N55" s="52"/>
      <c r="O55" s="53" t="s">
        <v>122</v>
      </c>
      <c r="P55" s="53" t="s">
        <v>123</v>
      </c>
    </row>
    <row r="56" spans="1:16" ht="12.75" customHeight="1" thickBot="1" x14ac:dyDescent="0.25">
      <c r="A56" s="14" t="str">
        <f t="shared" si="6"/>
        <v> AJ 59.455 </v>
      </c>
      <c r="B56" s="2" t="str">
        <f t="shared" si="7"/>
        <v>I</v>
      </c>
      <c r="C56" s="14">
        <f t="shared" si="8"/>
        <v>34128.930999999997</v>
      </c>
      <c r="D56" s="10" t="str">
        <f t="shared" si="9"/>
        <v>vis</v>
      </c>
      <c r="E56" s="50">
        <f>VLOOKUP(C56,Active!C$21:E$967,3,FALSE)</f>
        <v>-4700.0168117863868</v>
      </c>
      <c r="F56" s="2" t="s">
        <v>67</v>
      </c>
      <c r="G56" s="10" t="str">
        <f t="shared" si="10"/>
        <v>34128.931</v>
      </c>
      <c r="H56" s="14">
        <f t="shared" si="11"/>
        <v>-4700</v>
      </c>
      <c r="I56" s="51" t="s">
        <v>168</v>
      </c>
      <c r="J56" s="52" t="s">
        <v>169</v>
      </c>
      <c r="K56" s="51">
        <v>-4700</v>
      </c>
      <c r="L56" s="51" t="s">
        <v>170</v>
      </c>
      <c r="M56" s="52" t="s">
        <v>69</v>
      </c>
      <c r="N56" s="52"/>
      <c r="O56" s="53" t="s">
        <v>127</v>
      </c>
      <c r="P56" s="53" t="s">
        <v>128</v>
      </c>
    </row>
    <row r="57" spans="1:16" ht="12.75" customHeight="1" thickBot="1" x14ac:dyDescent="0.25">
      <c r="A57" s="14" t="str">
        <f t="shared" si="6"/>
        <v> AJ 59.455 </v>
      </c>
      <c r="B57" s="2" t="str">
        <f t="shared" si="7"/>
        <v>I</v>
      </c>
      <c r="C57" s="14">
        <f t="shared" si="8"/>
        <v>34162.847999999998</v>
      </c>
      <c r="D57" s="10" t="str">
        <f t="shared" si="9"/>
        <v>vis</v>
      </c>
      <c r="E57" s="50">
        <f>VLOOKUP(C57,Active!C$21:E$967,3,FALSE)</f>
        <v>-4683.9998073255956</v>
      </c>
      <c r="F57" s="2" t="s">
        <v>67</v>
      </c>
      <c r="G57" s="10" t="str">
        <f t="shared" si="10"/>
        <v>34162.848</v>
      </c>
      <c r="H57" s="14">
        <f t="shared" si="11"/>
        <v>-4684</v>
      </c>
      <c r="I57" s="51" t="s">
        <v>171</v>
      </c>
      <c r="J57" s="52" t="s">
        <v>172</v>
      </c>
      <c r="K57" s="51">
        <v>-4684</v>
      </c>
      <c r="L57" s="51" t="s">
        <v>154</v>
      </c>
      <c r="M57" s="52" t="s">
        <v>69</v>
      </c>
      <c r="N57" s="52"/>
      <c r="O57" s="53" t="s">
        <v>127</v>
      </c>
      <c r="P57" s="53" t="s">
        <v>128</v>
      </c>
    </row>
    <row r="58" spans="1:16" ht="12.75" customHeight="1" thickBot="1" x14ac:dyDescent="0.25">
      <c r="A58" s="14" t="str">
        <f t="shared" si="6"/>
        <v> AJ 59.455 </v>
      </c>
      <c r="B58" s="2" t="str">
        <f t="shared" si="7"/>
        <v>I</v>
      </c>
      <c r="C58" s="14">
        <f t="shared" si="8"/>
        <v>34215.773000000001</v>
      </c>
      <c r="D58" s="10" t="str">
        <f t="shared" si="9"/>
        <v>vis</v>
      </c>
      <c r="E58" s="50">
        <f>VLOOKUP(C58,Active!C$21:E$967,3,FALSE)</f>
        <v>-4659.0064423143222</v>
      </c>
      <c r="F58" s="2" t="s">
        <v>67</v>
      </c>
      <c r="G58" s="10" t="str">
        <f t="shared" si="10"/>
        <v>34215.773</v>
      </c>
      <c r="H58" s="14">
        <f t="shared" si="11"/>
        <v>-4659</v>
      </c>
      <c r="I58" s="51" t="s">
        <v>173</v>
      </c>
      <c r="J58" s="52" t="s">
        <v>174</v>
      </c>
      <c r="K58" s="51">
        <v>-4659</v>
      </c>
      <c r="L58" s="51" t="s">
        <v>175</v>
      </c>
      <c r="M58" s="52" t="s">
        <v>69</v>
      </c>
      <c r="N58" s="52"/>
      <c r="O58" s="53" t="s">
        <v>127</v>
      </c>
      <c r="P58" s="53" t="s">
        <v>128</v>
      </c>
    </row>
    <row r="59" spans="1:16" ht="12.75" customHeight="1" thickBot="1" x14ac:dyDescent="0.25">
      <c r="A59" s="14" t="str">
        <f t="shared" si="6"/>
        <v> AJ 59.455 </v>
      </c>
      <c r="B59" s="2" t="str">
        <f t="shared" si="7"/>
        <v>I</v>
      </c>
      <c r="C59" s="14">
        <f t="shared" si="8"/>
        <v>34336.498</v>
      </c>
      <c r="D59" s="10" t="str">
        <f t="shared" si="9"/>
        <v>vis</v>
      </c>
      <c r="E59" s="50">
        <f>VLOOKUP(C59,Active!C$21:E$967,3,FALSE)</f>
        <v>-4601.9951245819493</v>
      </c>
      <c r="F59" s="2" t="s">
        <v>67</v>
      </c>
      <c r="G59" s="10" t="str">
        <f t="shared" si="10"/>
        <v>34336.498</v>
      </c>
      <c r="H59" s="14">
        <f t="shared" si="11"/>
        <v>-4602</v>
      </c>
      <c r="I59" s="51" t="s">
        <v>176</v>
      </c>
      <c r="J59" s="52" t="s">
        <v>177</v>
      </c>
      <c r="K59" s="51">
        <v>-4602</v>
      </c>
      <c r="L59" s="51" t="s">
        <v>106</v>
      </c>
      <c r="M59" s="52" t="s">
        <v>69</v>
      </c>
      <c r="N59" s="52"/>
      <c r="O59" s="53" t="s">
        <v>127</v>
      </c>
      <c r="P59" s="53" t="s">
        <v>128</v>
      </c>
    </row>
    <row r="60" spans="1:16" ht="12.75" customHeight="1" thickBot="1" x14ac:dyDescent="0.25">
      <c r="A60" s="14" t="str">
        <f t="shared" si="6"/>
        <v> AHSB 6.1.77 </v>
      </c>
      <c r="B60" s="2" t="str">
        <f t="shared" si="7"/>
        <v>I</v>
      </c>
      <c r="C60" s="14">
        <f t="shared" si="8"/>
        <v>34622.35</v>
      </c>
      <c r="D60" s="10" t="str">
        <f t="shared" si="9"/>
        <v>vis</v>
      </c>
      <c r="E60" s="50">
        <f>VLOOKUP(C60,Active!C$21:E$967,3,FALSE)</f>
        <v>-4467.0040357732159</v>
      </c>
      <c r="F60" s="2" t="s">
        <v>67</v>
      </c>
      <c r="G60" s="10" t="str">
        <f t="shared" si="10"/>
        <v>34622.350</v>
      </c>
      <c r="H60" s="14">
        <f t="shared" si="11"/>
        <v>-4467</v>
      </c>
      <c r="I60" s="51" t="s">
        <v>178</v>
      </c>
      <c r="J60" s="52" t="s">
        <v>179</v>
      </c>
      <c r="K60" s="51">
        <v>-4467</v>
      </c>
      <c r="L60" s="51" t="s">
        <v>167</v>
      </c>
      <c r="M60" s="52" t="s">
        <v>73</v>
      </c>
      <c r="N60" s="52"/>
      <c r="O60" s="53" t="s">
        <v>122</v>
      </c>
      <c r="P60" s="53" t="s">
        <v>123</v>
      </c>
    </row>
    <row r="61" spans="1:16" ht="12.75" customHeight="1" thickBot="1" x14ac:dyDescent="0.25">
      <c r="A61" s="14" t="str">
        <f t="shared" si="6"/>
        <v> AHSB 6.1.77 </v>
      </c>
      <c r="B61" s="2" t="str">
        <f t="shared" si="7"/>
        <v>II</v>
      </c>
      <c r="C61" s="14">
        <f t="shared" si="8"/>
        <v>34962.324999999997</v>
      </c>
      <c r="D61" s="10" t="str">
        <f t="shared" si="9"/>
        <v>vis</v>
      </c>
      <c r="E61" s="50">
        <f>VLOOKUP(C61,Active!C$21:E$967,3,FALSE)</f>
        <v>-4306.4538370068994</v>
      </c>
      <c r="F61" s="2" t="s">
        <v>67</v>
      </c>
      <c r="G61" s="10" t="str">
        <f t="shared" si="10"/>
        <v>34962.325</v>
      </c>
      <c r="H61" s="14">
        <f t="shared" si="11"/>
        <v>-4306.5</v>
      </c>
      <c r="I61" s="51" t="s">
        <v>180</v>
      </c>
      <c r="J61" s="52" t="s">
        <v>181</v>
      </c>
      <c r="K61" s="51">
        <v>-4306.5</v>
      </c>
      <c r="L61" s="51" t="s">
        <v>182</v>
      </c>
      <c r="M61" s="52" t="s">
        <v>73</v>
      </c>
      <c r="N61" s="52"/>
      <c r="O61" s="53" t="s">
        <v>122</v>
      </c>
      <c r="P61" s="53" t="s">
        <v>123</v>
      </c>
    </row>
    <row r="62" spans="1:16" ht="12.75" customHeight="1" thickBot="1" x14ac:dyDescent="0.25">
      <c r="A62" s="14" t="str">
        <f t="shared" si="6"/>
        <v> AHSB 6.1.77 </v>
      </c>
      <c r="B62" s="2" t="str">
        <f t="shared" si="7"/>
        <v>I</v>
      </c>
      <c r="C62" s="14">
        <f t="shared" si="8"/>
        <v>35020.464999999997</v>
      </c>
      <c r="D62" s="10" t="str">
        <f t="shared" si="9"/>
        <v>vis</v>
      </c>
      <c r="E62" s="50">
        <f>VLOOKUP(C62,Active!C$21:E$967,3,FALSE)</f>
        <v>-4278.9977341867698</v>
      </c>
      <c r="F62" s="2" t="s">
        <v>67</v>
      </c>
      <c r="G62" s="10" t="str">
        <f t="shared" si="10"/>
        <v>35020.465</v>
      </c>
      <c r="H62" s="14">
        <f t="shared" si="11"/>
        <v>-4279</v>
      </c>
      <c r="I62" s="51" t="s">
        <v>183</v>
      </c>
      <c r="J62" s="52" t="s">
        <v>184</v>
      </c>
      <c r="K62" s="51">
        <v>-4279</v>
      </c>
      <c r="L62" s="51" t="s">
        <v>185</v>
      </c>
      <c r="M62" s="52" t="s">
        <v>73</v>
      </c>
      <c r="N62" s="52"/>
      <c r="O62" s="53" t="s">
        <v>122</v>
      </c>
      <c r="P62" s="53" t="s">
        <v>123</v>
      </c>
    </row>
    <row r="63" spans="1:16" ht="12.75" customHeight="1" thickBot="1" x14ac:dyDescent="0.25">
      <c r="A63" s="14" t="str">
        <f t="shared" si="6"/>
        <v> AHSB 6.1.77 </v>
      </c>
      <c r="B63" s="2" t="str">
        <f t="shared" si="7"/>
        <v>I</v>
      </c>
      <c r="C63" s="14">
        <f t="shared" si="8"/>
        <v>35090.345000000001</v>
      </c>
      <c r="D63" s="10" t="str">
        <f t="shared" si="9"/>
        <v>vis</v>
      </c>
      <c r="E63" s="50">
        <f>VLOOKUP(C63,Active!C$21:E$967,3,FALSE)</f>
        <v>-4245.9975197892672</v>
      </c>
      <c r="F63" s="2" t="s">
        <v>67</v>
      </c>
      <c r="G63" s="10" t="str">
        <f t="shared" si="10"/>
        <v>35090.345</v>
      </c>
      <c r="H63" s="14">
        <f t="shared" si="11"/>
        <v>-4246</v>
      </c>
      <c r="I63" s="51" t="s">
        <v>186</v>
      </c>
      <c r="J63" s="52" t="s">
        <v>187</v>
      </c>
      <c r="K63" s="51">
        <v>-4246</v>
      </c>
      <c r="L63" s="51" t="s">
        <v>185</v>
      </c>
      <c r="M63" s="52" t="s">
        <v>73</v>
      </c>
      <c r="N63" s="52"/>
      <c r="O63" s="53" t="s">
        <v>122</v>
      </c>
      <c r="P63" s="53" t="s">
        <v>123</v>
      </c>
    </row>
    <row r="64" spans="1:16" ht="12.75" customHeight="1" thickBot="1" x14ac:dyDescent="0.25">
      <c r="A64" s="14" t="str">
        <f t="shared" si="6"/>
        <v> AHSB 6.1.77 </v>
      </c>
      <c r="B64" s="2" t="str">
        <f t="shared" si="7"/>
        <v>I</v>
      </c>
      <c r="C64" s="14">
        <f t="shared" si="8"/>
        <v>35185.64</v>
      </c>
      <c r="D64" s="10" t="str">
        <f t="shared" si="9"/>
        <v>vis</v>
      </c>
      <c r="E64" s="50">
        <f>VLOOKUP(C64,Active!C$21:E$967,3,FALSE)</f>
        <v>-4200.995295533261</v>
      </c>
      <c r="F64" s="2" t="s">
        <v>67</v>
      </c>
      <c r="G64" s="10" t="str">
        <f t="shared" si="10"/>
        <v>35185.640</v>
      </c>
      <c r="H64" s="14">
        <f t="shared" si="11"/>
        <v>-4201</v>
      </c>
      <c r="I64" s="51" t="s">
        <v>188</v>
      </c>
      <c r="J64" s="52" t="s">
        <v>189</v>
      </c>
      <c r="K64" s="51">
        <v>-4201</v>
      </c>
      <c r="L64" s="51" t="s">
        <v>106</v>
      </c>
      <c r="M64" s="52" t="s">
        <v>73</v>
      </c>
      <c r="N64" s="52"/>
      <c r="O64" s="53" t="s">
        <v>122</v>
      </c>
      <c r="P64" s="53" t="s">
        <v>123</v>
      </c>
    </row>
    <row r="65" spans="1:16" ht="12.75" customHeight="1" thickBot="1" x14ac:dyDescent="0.25">
      <c r="A65" s="14" t="str">
        <f t="shared" si="6"/>
        <v> AHSB 6.1.77 </v>
      </c>
      <c r="B65" s="2" t="str">
        <f t="shared" si="7"/>
        <v>I</v>
      </c>
      <c r="C65" s="14">
        <f t="shared" si="8"/>
        <v>35310.552000000003</v>
      </c>
      <c r="D65" s="10" t="str">
        <f t="shared" si="9"/>
        <v>vis</v>
      </c>
      <c r="E65" s="50">
        <f>VLOOKUP(C65,Active!C$21:E$967,3,FALSE)</f>
        <v>-4142.006703935941</v>
      </c>
      <c r="F65" s="2" t="s">
        <v>67</v>
      </c>
      <c r="G65" s="10" t="str">
        <f t="shared" si="10"/>
        <v>35310.552</v>
      </c>
      <c r="H65" s="14">
        <f t="shared" si="11"/>
        <v>-4142</v>
      </c>
      <c r="I65" s="51" t="s">
        <v>190</v>
      </c>
      <c r="J65" s="52" t="s">
        <v>191</v>
      </c>
      <c r="K65" s="51">
        <v>-4142</v>
      </c>
      <c r="L65" s="51" t="s">
        <v>175</v>
      </c>
      <c r="M65" s="52" t="s">
        <v>73</v>
      </c>
      <c r="N65" s="52"/>
      <c r="O65" s="53" t="s">
        <v>122</v>
      </c>
      <c r="P65" s="53" t="s">
        <v>123</v>
      </c>
    </row>
    <row r="66" spans="1:16" ht="12.75" customHeight="1" thickBot="1" x14ac:dyDescent="0.25">
      <c r="A66" s="14" t="str">
        <f t="shared" si="6"/>
        <v> PZ 11.226 </v>
      </c>
      <c r="B66" s="2" t="str">
        <f t="shared" si="7"/>
        <v>I</v>
      </c>
      <c r="C66" s="14">
        <f t="shared" si="8"/>
        <v>35342.351000000002</v>
      </c>
      <c r="D66" s="10" t="str">
        <f t="shared" si="9"/>
        <v>vis</v>
      </c>
      <c r="E66" s="50">
        <f>VLOOKUP(C66,Active!C$21:E$967,3,FALSE)</f>
        <v>-4126.9899063167923</v>
      </c>
      <c r="F66" s="2" t="s">
        <v>67</v>
      </c>
      <c r="G66" s="10" t="str">
        <f t="shared" si="10"/>
        <v>35342.351</v>
      </c>
      <c r="H66" s="14">
        <f t="shared" si="11"/>
        <v>-4127</v>
      </c>
      <c r="I66" s="51" t="s">
        <v>192</v>
      </c>
      <c r="J66" s="52" t="s">
        <v>193</v>
      </c>
      <c r="K66" s="51">
        <v>-4127</v>
      </c>
      <c r="L66" s="51" t="s">
        <v>194</v>
      </c>
      <c r="M66" s="52" t="s">
        <v>73</v>
      </c>
      <c r="N66" s="52"/>
      <c r="O66" s="53" t="s">
        <v>150</v>
      </c>
      <c r="P66" s="53" t="s">
        <v>151</v>
      </c>
    </row>
    <row r="67" spans="1:16" ht="12.75" customHeight="1" thickBot="1" x14ac:dyDescent="0.25">
      <c r="A67" s="14" t="str">
        <f t="shared" si="6"/>
        <v> PZ 11.226 </v>
      </c>
      <c r="B67" s="2" t="str">
        <f t="shared" si="7"/>
        <v>I</v>
      </c>
      <c r="C67" s="14">
        <f t="shared" si="8"/>
        <v>35395.305999999997</v>
      </c>
      <c r="D67" s="10" t="str">
        <f t="shared" si="9"/>
        <v>vis</v>
      </c>
      <c r="E67" s="50">
        <f>VLOOKUP(C67,Active!C$21:E$967,3,FALSE)</f>
        <v>-4101.9823740698057</v>
      </c>
      <c r="F67" s="2" t="s">
        <v>67</v>
      </c>
      <c r="G67" s="10" t="str">
        <f t="shared" si="10"/>
        <v>35395.306</v>
      </c>
      <c r="H67" s="14">
        <f t="shared" si="11"/>
        <v>-4102</v>
      </c>
      <c r="I67" s="51" t="s">
        <v>195</v>
      </c>
      <c r="J67" s="52" t="s">
        <v>196</v>
      </c>
      <c r="K67" s="51">
        <v>-4102</v>
      </c>
      <c r="L67" s="51" t="s">
        <v>197</v>
      </c>
      <c r="M67" s="52" t="s">
        <v>73</v>
      </c>
      <c r="N67" s="52"/>
      <c r="O67" s="53" t="s">
        <v>150</v>
      </c>
      <c r="P67" s="53" t="s">
        <v>151</v>
      </c>
    </row>
    <row r="68" spans="1:16" ht="12.75" customHeight="1" thickBot="1" x14ac:dyDescent="0.25">
      <c r="A68" s="14" t="str">
        <f t="shared" si="6"/>
        <v> AHSB 6.1.77 </v>
      </c>
      <c r="B68" s="2" t="str">
        <f t="shared" si="7"/>
        <v>I</v>
      </c>
      <c r="C68" s="14">
        <f t="shared" si="8"/>
        <v>35399.498</v>
      </c>
      <c r="D68" s="10" t="str">
        <f t="shared" si="9"/>
        <v>vis</v>
      </c>
      <c r="E68" s="50">
        <f>VLOOKUP(C68,Active!C$21:E$967,3,FALSE)</f>
        <v>-4100.0027389989064</v>
      </c>
      <c r="F68" s="2" t="s">
        <v>67</v>
      </c>
      <c r="G68" s="10" t="str">
        <f t="shared" si="10"/>
        <v>35399.498</v>
      </c>
      <c r="H68" s="14">
        <f t="shared" si="11"/>
        <v>-4100</v>
      </c>
      <c r="I68" s="51" t="s">
        <v>198</v>
      </c>
      <c r="J68" s="52" t="s">
        <v>199</v>
      </c>
      <c r="K68" s="51">
        <v>-4100</v>
      </c>
      <c r="L68" s="51" t="s">
        <v>200</v>
      </c>
      <c r="M68" s="52" t="s">
        <v>73</v>
      </c>
      <c r="N68" s="52"/>
      <c r="O68" s="53" t="s">
        <v>122</v>
      </c>
      <c r="P68" s="53" t="s">
        <v>123</v>
      </c>
    </row>
    <row r="69" spans="1:16" ht="12.75" customHeight="1" thickBot="1" x14ac:dyDescent="0.25">
      <c r="A69" s="14" t="str">
        <f t="shared" si="6"/>
        <v> AHSB 6.1.77 </v>
      </c>
      <c r="B69" s="2" t="str">
        <f t="shared" si="7"/>
        <v>I</v>
      </c>
      <c r="C69" s="14">
        <f t="shared" si="8"/>
        <v>35429.135000000002</v>
      </c>
      <c r="D69" s="10" t="str">
        <f t="shared" si="9"/>
        <v>vis</v>
      </c>
      <c r="E69" s="50">
        <f>VLOOKUP(C69,Active!C$21:E$967,3,FALSE)</f>
        <v>-4086.0069268337834</v>
      </c>
      <c r="F69" s="2" t="s">
        <v>67</v>
      </c>
      <c r="G69" s="10" t="str">
        <f t="shared" si="10"/>
        <v>35429.135</v>
      </c>
      <c r="H69" s="14">
        <f t="shared" si="11"/>
        <v>-4086</v>
      </c>
      <c r="I69" s="51" t="s">
        <v>201</v>
      </c>
      <c r="J69" s="52" t="s">
        <v>202</v>
      </c>
      <c r="K69" s="51">
        <v>-4086</v>
      </c>
      <c r="L69" s="51" t="s">
        <v>143</v>
      </c>
      <c r="M69" s="52" t="s">
        <v>73</v>
      </c>
      <c r="N69" s="52"/>
      <c r="O69" s="53" t="s">
        <v>122</v>
      </c>
      <c r="P69" s="53" t="s">
        <v>123</v>
      </c>
    </row>
    <row r="70" spans="1:16" ht="12.75" customHeight="1" thickBot="1" x14ac:dyDescent="0.25">
      <c r="A70" s="14" t="str">
        <f t="shared" si="6"/>
        <v> AHSB 6.1.77 </v>
      </c>
      <c r="B70" s="2" t="str">
        <f t="shared" si="7"/>
        <v>I</v>
      </c>
      <c r="C70" s="14">
        <f t="shared" si="8"/>
        <v>36818.267</v>
      </c>
      <c r="D70" s="10" t="str">
        <f t="shared" si="9"/>
        <v>vis</v>
      </c>
      <c r="E70" s="50">
        <f>VLOOKUP(C70,Active!C$21:E$967,3,FALSE)</f>
        <v>-3430.0015772855777</v>
      </c>
      <c r="F70" s="2" t="s">
        <v>67</v>
      </c>
      <c r="G70" s="10" t="str">
        <f t="shared" si="10"/>
        <v>36818.267</v>
      </c>
      <c r="H70" s="14">
        <f t="shared" si="11"/>
        <v>-3430</v>
      </c>
      <c r="I70" s="51" t="s">
        <v>203</v>
      </c>
      <c r="J70" s="52" t="s">
        <v>204</v>
      </c>
      <c r="K70" s="51">
        <v>-3430</v>
      </c>
      <c r="L70" s="51" t="s">
        <v>68</v>
      </c>
      <c r="M70" s="52" t="s">
        <v>73</v>
      </c>
      <c r="N70" s="52"/>
      <c r="O70" s="53" t="s">
        <v>122</v>
      </c>
      <c r="P70" s="53" t="s">
        <v>123</v>
      </c>
    </row>
    <row r="71" spans="1:16" ht="12.75" customHeight="1" thickBot="1" x14ac:dyDescent="0.25">
      <c r="A71" s="14" t="str">
        <f t="shared" si="6"/>
        <v> AHSB 6.1.77 </v>
      </c>
      <c r="B71" s="2" t="str">
        <f t="shared" si="7"/>
        <v>I</v>
      </c>
      <c r="C71" s="14">
        <f t="shared" si="8"/>
        <v>36820.410000000003</v>
      </c>
      <c r="D71" s="10" t="str">
        <f t="shared" si="9"/>
        <v>vis</v>
      </c>
      <c r="E71" s="50">
        <f>VLOOKUP(C71,Active!C$21:E$967,3,FALSE)</f>
        <v>-3428.9895644141698</v>
      </c>
      <c r="F71" s="2" t="s">
        <v>67</v>
      </c>
      <c r="G71" s="10" t="str">
        <f t="shared" si="10"/>
        <v>36820.410</v>
      </c>
      <c r="H71" s="14">
        <f t="shared" si="11"/>
        <v>-3429</v>
      </c>
      <c r="I71" s="51" t="s">
        <v>205</v>
      </c>
      <c r="J71" s="52" t="s">
        <v>206</v>
      </c>
      <c r="K71" s="51">
        <v>-3429</v>
      </c>
      <c r="L71" s="51" t="s">
        <v>207</v>
      </c>
      <c r="M71" s="52" t="s">
        <v>73</v>
      </c>
      <c r="N71" s="52"/>
      <c r="O71" s="53" t="s">
        <v>122</v>
      </c>
      <c r="P71" s="53" t="s">
        <v>123</v>
      </c>
    </row>
    <row r="72" spans="1:16" ht="12.75" customHeight="1" thickBot="1" x14ac:dyDescent="0.25">
      <c r="A72" s="14" t="str">
        <f t="shared" si="6"/>
        <v> AHSB 6.1.77 </v>
      </c>
      <c r="B72" s="2" t="str">
        <f t="shared" si="7"/>
        <v>I</v>
      </c>
      <c r="C72" s="14">
        <f t="shared" si="8"/>
        <v>36822.498</v>
      </c>
      <c r="D72" s="10" t="str">
        <f t="shared" si="9"/>
        <v>vis</v>
      </c>
      <c r="E72" s="50">
        <f>VLOOKUP(C72,Active!C$21:E$967,3,FALSE)</f>
        <v>-3428.0035248082477</v>
      </c>
      <c r="F72" s="2" t="s">
        <v>67</v>
      </c>
      <c r="G72" s="10" t="str">
        <f t="shared" si="10"/>
        <v>36822.498</v>
      </c>
      <c r="H72" s="14">
        <f t="shared" si="11"/>
        <v>-3428</v>
      </c>
      <c r="I72" s="51" t="s">
        <v>208</v>
      </c>
      <c r="J72" s="52" t="s">
        <v>209</v>
      </c>
      <c r="K72" s="51">
        <v>-3428</v>
      </c>
      <c r="L72" s="51" t="s">
        <v>126</v>
      </c>
      <c r="M72" s="52" t="s">
        <v>73</v>
      </c>
      <c r="N72" s="52"/>
      <c r="O72" s="53" t="s">
        <v>122</v>
      </c>
      <c r="P72" s="53" t="s">
        <v>123</v>
      </c>
    </row>
    <row r="73" spans="1:16" ht="12.75" customHeight="1" thickBot="1" x14ac:dyDescent="0.25">
      <c r="A73" s="14" t="str">
        <f t="shared" si="6"/>
        <v> HABZ 28 </v>
      </c>
      <c r="B73" s="2" t="str">
        <f t="shared" si="7"/>
        <v>I</v>
      </c>
      <c r="C73" s="14">
        <f t="shared" si="8"/>
        <v>37146.476999999999</v>
      </c>
      <c r="D73" s="10" t="str">
        <f t="shared" si="9"/>
        <v>vis</v>
      </c>
      <c r="E73" s="50">
        <f>VLOOKUP(C73,Active!C$21:E$967,3,FALSE)</f>
        <v>-3275.0072961263959</v>
      </c>
      <c r="F73" s="2" t="s">
        <v>67</v>
      </c>
      <c r="G73" s="10" t="str">
        <f t="shared" si="10"/>
        <v>37146.477</v>
      </c>
      <c r="H73" s="14">
        <f t="shared" si="11"/>
        <v>-3275</v>
      </c>
      <c r="I73" s="51" t="s">
        <v>210</v>
      </c>
      <c r="J73" s="52" t="s">
        <v>211</v>
      </c>
      <c r="K73" s="51">
        <v>-3275</v>
      </c>
      <c r="L73" s="51" t="s">
        <v>143</v>
      </c>
      <c r="M73" s="52" t="s">
        <v>73</v>
      </c>
      <c r="N73" s="52"/>
      <c r="O73" s="53" t="s">
        <v>212</v>
      </c>
      <c r="P73" s="53" t="s">
        <v>213</v>
      </c>
    </row>
    <row r="74" spans="1:16" ht="12.75" customHeight="1" thickBot="1" x14ac:dyDescent="0.25">
      <c r="A74" s="14" t="str">
        <f t="shared" si="6"/>
        <v> HABZ 28 </v>
      </c>
      <c r="B74" s="2" t="str">
        <f t="shared" si="7"/>
        <v>I</v>
      </c>
      <c r="C74" s="14">
        <f t="shared" si="8"/>
        <v>37199.445</v>
      </c>
      <c r="D74" s="10" t="str">
        <f t="shared" si="9"/>
        <v>vis</v>
      </c>
      <c r="E74" s="50">
        <f>VLOOKUP(C74,Active!C$21:E$967,3,FALSE)</f>
        <v>-3249.9936247439282</v>
      </c>
      <c r="F74" s="2" t="s">
        <v>67</v>
      </c>
      <c r="G74" s="10" t="str">
        <f t="shared" si="10"/>
        <v>37199.445</v>
      </c>
      <c r="H74" s="14">
        <f t="shared" si="11"/>
        <v>-3250</v>
      </c>
      <c r="I74" s="51" t="s">
        <v>214</v>
      </c>
      <c r="J74" s="52" t="s">
        <v>215</v>
      </c>
      <c r="K74" s="51">
        <v>-3250</v>
      </c>
      <c r="L74" s="51" t="s">
        <v>135</v>
      </c>
      <c r="M74" s="52" t="s">
        <v>73</v>
      </c>
      <c r="N74" s="52"/>
      <c r="O74" s="53" t="s">
        <v>212</v>
      </c>
      <c r="P74" s="53" t="s">
        <v>213</v>
      </c>
    </row>
    <row r="75" spans="1:16" ht="12.75" customHeight="1" thickBot="1" x14ac:dyDescent="0.25">
      <c r="A75" s="14" t="str">
        <f t="shared" ref="A75:A90" si="12">P75</f>
        <v> PZ 15.520 </v>
      </c>
      <c r="B75" s="2" t="str">
        <f t="shared" ref="B75:B90" si="13">IF(H75=INT(H75),"I","II")</f>
        <v>I</v>
      </c>
      <c r="C75" s="14">
        <f t="shared" ref="C75:C90" si="14">1*G75</f>
        <v>37557.292999999998</v>
      </c>
      <c r="D75" s="10" t="str">
        <f t="shared" ref="D75:D90" si="15">VLOOKUP(F75,I$1:J$5,2,FALSE)</f>
        <v>vis</v>
      </c>
      <c r="E75" s="50">
        <f>VLOOKUP(C75,Active!C$21:E$967,3,FALSE)</f>
        <v>-3081.0030591784343</v>
      </c>
      <c r="F75" s="2" t="s">
        <v>67</v>
      </c>
      <c r="G75" s="10" t="str">
        <f t="shared" ref="G75:G90" si="16">MID(I75,3,LEN(I75)-3)</f>
        <v>37557.293</v>
      </c>
      <c r="H75" s="14">
        <f t="shared" ref="H75:H90" si="17">1*K75</f>
        <v>-3081</v>
      </c>
      <c r="I75" s="51" t="s">
        <v>216</v>
      </c>
      <c r="J75" s="52" t="s">
        <v>217</v>
      </c>
      <c r="K75" s="51">
        <v>-3081</v>
      </c>
      <c r="L75" s="51" t="s">
        <v>200</v>
      </c>
      <c r="M75" s="52" t="s">
        <v>69</v>
      </c>
      <c r="N75" s="52"/>
      <c r="O75" s="53" t="s">
        <v>150</v>
      </c>
      <c r="P75" s="53" t="s">
        <v>218</v>
      </c>
    </row>
    <row r="76" spans="1:16" ht="12.75" customHeight="1" thickBot="1" x14ac:dyDescent="0.25">
      <c r="A76" s="14" t="str">
        <f t="shared" si="12"/>
        <v> HABZ 28 </v>
      </c>
      <c r="B76" s="2" t="str">
        <f t="shared" si="13"/>
        <v>I</v>
      </c>
      <c r="C76" s="14">
        <f t="shared" si="14"/>
        <v>37559.436999999998</v>
      </c>
      <c r="D76" s="10" t="str">
        <f t="shared" si="15"/>
        <v>vis</v>
      </c>
      <c r="E76" s="50">
        <f>VLOOKUP(C76,Active!C$21:E$967,3,FALSE)</f>
        <v>-3079.9905740658378</v>
      </c>
      <c r="F76" s="2" t="s">
        <v>67</v>
      </c>
      <c r="G76" s="10" t="str">
        <f t="shared" si="16"/>
        <v>37559.437</v>
      </c>
      <c r="H76" s="14">
        <f t="shared" si="17"/>
        <v>-3080</v>
      </c>
      <c r="I76" s="51" t="s">
        <v>219</v>
      </c>
      <c r="J76" s="52" t="s">
        <v>220</v>
      </c>
      <c r="K76" s="51">
        <v>-3080</v>
      </c>
      <c r="L76" s="51" t="s">
        <v>221</v>
      </c>
      <c r="M76" s="52" t="s">
        <v>73</v>
      </c>
      <c r="N76" s="52"/>
      <c r="O76" s="53" t="s">
        <v>212</v>
      </c>
      <c r="P76" s="53" t="s">
        <v>213</v>
      </c>
    </row>
    <row r="77" spans="1:16" ht="12.75" customHeight="1" thickBot="1" x14ac:dyDescent="0.25">
      <c r="A77" s="14" t="str">
        <f t="shared" si="12"/>
        <v> HABZ 28 </v>
      </c>
      <c r="B77" s="2" t="str">
        <f t="shared" si="13"/>
        <v>I</v>
      </c>
      <c r="C77" s="14">
        <f t="shared" si="14"/>
        <v>38262.442999999999</v>
      </c>
      <c r="D77" s="10" t="str">
        <f t="shared" si="15"/>
        <v>vis</v>
      </c>
      <c r="E77" s="50">
        <f>VLOOKUP(C77,Active!C$21:E$967,3,FALSE)</f>
        <v>-2748.0021836432666</v>
      </c>
      <c r="F77" s="2" t="s">
        <v>67</v>
      </c>
      <c r="G77" s="10" t="str">
        <f t="shared" si="16"/>
        <v>38262.443</v>
      </c>
      <c r="H77" s="14">
        <f t="shared" si="17"/>
        <v>-2748</v>
      </c>
      <c r="I77" s="51" t="s">
        <v>222</v>
      </c>
      <c r="J77" s="52" t="s">
        <v>223</v>
      </c>
      <c r="K77" s="51">
        <v>-2748</v>
      </c>
      <c r="L77" s="51" t="s">
        <v>86</v>
      </c>
      <c r="M77" s="52" t="s">
        <v>73</v>
      </c>
      <c r="N77" s="52"/>
      <c r="O77" s="53" t="s">
        <v>212</v>
      </c>
      <c r="P77" s="53" t="s">
        <v>213</v>
      </c>
    </row>
    <row r="78" spans="1:16" ht="12.75" customHeight="1" thickBot="1" x14ac:dyDescent="0.25">
      <c r="A78" s="14" t="str">
        <f t="shared" si="12"/>
        <v> HABZ 28 </v>
      </c>
      <c r="B78" s="2" t="str">
        <f t="shared" si="13"/>
        <v>I</v>
      </c>
      <c r="C78" s="14">
        <f t="shared" si="14"/>
        <v>38315.366000000002</v>
      </c>
      <c r="D78" s="10" t="str">
        <f t="shared" si="15"/>
        <v>vis</v>
      </c>
      <c r="E78" s="50">
        <f>VLOOKUP(C78,Active!C$21:E$967,3,FALSE)</f>
        <v>-2723.009763114374</v>
      </c>
      <c r="F78" s="2" t="s">
        <v>67</v>
      </c>
      <c r="G78" s="10" t="str">
        <f t="shared" si="16"/>
        <v>38315.366</v>
      </c>
      <c r="H78" s="14">
        <f t="shared" si="17"/>
        <v>-2723</v>
      </c>
      <c r="I78" s="51" t="s">
        <v>224</v>
      </c>
      <c r="J78" s="52" t="s">
        <v>225</v>
      </c>
      <c r="K78" s="51">
        <v>-2723</v>
      </c>
      <c r="L78" s="51" t="s">
        <v>226</v>
      </c>
      <c r="M78" s="52" t="s">
        <v>73</v>
      </c>
      <c r="N78" s="52"/>
      <c r="O78" s="53" t="s">
        <v>212</v>
      </c>
      <c r="P78" s="53" t="s">
        <v>213</v>
      </c>
    </row>
    <row r="79" spans="1:16" ht="12.75" customHeight="1" thickBot="1" x14ac:dyDescent="0.25">
      <c r="A79" s="14" t="str">
        <f t="shared" si="12"/>
        <v> BAC 19.123 </v>
      </c>
      <c r="B79" s="2" t="str">
        <f t="shared" si="13"/>
        <v>I</v>
      </c>
      <c r="C79" s="14">
        <f t="shared" si="14"/>
        <v>39376.284800000001</v>
      </c>
      <c r="D79" s="10" t="str">
        <f t="shared" si="15"/>
        <v>vis</v>
      </c>
      <c r="E79" s="50">
        <f>VLOOKUP(C79,Active!C$21:E$967,3,FALSE)</f>
        <v>-2222.0002058971595</v>
      </c>
      <c r="F79" s="2" t="s">
        <v>67</v>
      </c>
      <c r="G79" s="10" t="str">
        <f t="shared" si="16"/>
        <v>39376.2848</v>
      </c>
      <c r="H79" s="14">
        <f t="shared" si="17"/>
        <v>-2222</v>
      </c>
      <c r="I79" s="51" t="s">
        <v>227</v>
      </c>
      <c r="J79" s="52" t="s">
        <v>228</v>
      </c>
      <c r="K79" s="51">
        <v>-2222</v>
      </c>
      <c r="L79" s="51" t="s">
        <v>229</v>
      </c>
      <c r="M79" s="52" t="s">
        <v>230</v>
      </c>
      <c r="N79" s="52" t="s">
        <v>231</v>
      </c>
      <c r="O79" s="53" t="s">
        <v>232</v>
      </c>
      <c r="P79" s="53" t="s">
        <v>233</v>
      </c>
    </row>
    <row r="80" spans="1:16" ht="12.75" customHeight="1" thickBot="1" x14ac:dyDescent="0.25">
      <c r="A80" s="14" t="str">
        <f t="shared" si="12"/>
        <v> BAC 19.123 </v>
      </c>
      <c r="B80" s="2" t="str">
        <f t="shared" si="13"/>
        <v>I</v>
      </c>
      <c r="C80" s="14">
        <f t="shared" si="14"/>
        <v>39685.446600000003</v>
      </c>
      <c r="D80" s="10" t="str">
        <f t="shared" si="15"/>
        <v>vis</v>
      </c>
      <c r="E80" s="50">
        <f>VLOOKUP(C80,Active!C$21:E$967,3,FALSE)</f>
        <v>-2076.0012693843196</v>
      </c>
      <c r="F80" s="2" t="s">
        <v>67</v>
      </c>
      <c r="G80" s="10" t="str">
        <f t="shared" si="16"/>
        <v>39685.4466</v>
      </c>
      <c r="H80" s="14">
        <f t="shared" si="17"/>
        <v>-2076</v>
      </c>
      <c r="I80" s="51" t="s">
        <v>234</v>
      </c>
      <c r="J80" s="52" t="s">
        <v>235</v>
      </c>
      <c r="K80" s="51">
        <v>-2076</v>
      </c>
      <c r="L80" s="51" t="s">
        <v>236</v>
      </c>
      <c r="M80" s="52" t="s">
        <v>230</v>
      </c>
      <c r="N80" s="52" t="s">
        <v>231</v>
      </c>
      <c r="O80" s="53" t="s">
        <v>232</v>
      </c>
      <c r="P80" s="53" t="s">
        <v>233</v>
      </c>
    </row>
    <row r="81" spans="1:16" ht="12.75" customHeight="1" thickBot="1" x14ac:dyDescent="0.25">
      <c r="A81" s="14" t="str">
        <f t="shared" si="12"/>
        <v>IBVS 5040 </v>
      </c>
      <c r="B81" s="2" t="str">
        <f t="shared" si="13"/>
        <v>I</v>
      </c>
      <c r="C81" s="14">
        <f t="shared" si="14"/>
        <v>51812.773099999999</v>
      </c>
      <c r="D81" s="10" t="str">
        <f t="shared" si="15"/>
        <v>vis</v>
      </c>
      <c r="E81" s="50" t="e">
        <f>VLOOKUP(C81,Active!C$21:E$967,3,FALSE)</f>
        <v>#N/A</v>
      </c>
      <c r="F81" s="2" t="s">
        <v>67</v>
      </c>
      <c r="G81" s="10" t="str">
        <f t="shared" si="16"/>
        <v>51812.7731</v>
      </c>
      <c r="H81" s="14">
        <f t="shared" si="17"/>
        <v>3651</v>
      </c>
      <c r="I81" s="51" t="s">
        <v>246</v>
      </c>
      <c r="J81" s="52" t="s">
        <v>247</v>
      </c>
      <c r="K81" s="51">
        <v>3651</v>
      </c>
      <c r="L81" s="51" t="s">
        <v>248</v>
      </c>
      <c r="M81" s="52" t="s">
        <v>230</v>
      </c>
      <c r="N81" s="52" t="s">
        <v>231</v>
      </c>
      <c r="O81" s="53" t="s">
        <v>249</v>
      </c>
      <c r="P81" s="54" t="s">
        <v>250</v>
      </c>
    </row>
    <row r="82" spans="1:16" ht="12.75" customHeight="1" thickBot="1" x14ac:dyDescent="0.25">
      <c r="A82" s="14" t="str">
        <f t="shared" si="12"/>
        <v>IBVS 5493 </v>
      </c>
      <c r="B82" s="2" t="str">
        <f t="shared" si="13"/>
        <v>I</v>
      </c>
      <c r="C82" s="14">
        <f t="shared" si="14"/>
        <v>52839.780500000001</v>
      </c>
      <c r="D82" s="10" t="str">
        <f t="shared" si="15"/>
        <v>vis</v>
      </c>
      <c r="E82" s="50" t="e">
        <f>VLOOKUP(C82,Active!C$21:E$967,3,FALSE)</f>
        <v>#N/A</v>
      </c>
      <c r="F82" s="2" t="s">
        <v>67</v>
      </c>
      <c r="G82" s="10" t="str">
        <f t="shared" si="16"/>
        <v>52839.7805</v>
      </c>
      <c r="H82" s="14">
        <f t="shared" si="17"/>
        <v>4136</v>
      </c>
      <c r="I82" s="51" t="s">
        <v>262</v>
      </c>
      <c r="J82" s="52" t="s">
        <v>263</v>
      </c>
      <c r="K82" s="51" t="s">
        <v>264</v>
      </c>
      <c r="L82" s="51" t="s">
        <v>265</v>
      </c>
      <c r="M82" s="52" t="s">
        <v>230</v>
      </c>
      <c r="N82" s="52" t="s">
        <v>231</v>
      </c>
      <c r="O82" s="53" t="s">
        <v>266</v>
      </c>
      <c r="P82" s="54" t="s">
        <v>267</v>
      </c>
    </row>
    <row r="83" spans="1:16" ht="12.75" customHeight="1" thickBot="1" x14ac:dyDescent="0.25">
      <c r="A83" s="14" t="str">
        <f t="shared" si="12"/>
        <v>BAVM 171 </v>
      </c>
      <c r="B83" s="2" t="str">
        <f t="shared" si="13"/>
        <v>I</v>
      </c>
      <c r="C83" s="14">
        <f t="shared" si="14"/>
        <v>52852.487000000001</v>
      </c>
      <c r="D83" s="10" t="str">
        <f t="shared" si="15"/>
        <v>vis</v>
      </c>
      <c r="E83" s="50">
        <f>VLOOKUP(C83,Active!C$21:E$967,3,FALSE)</f>
        <v>4142.0175654833247</v>
      </c>
      <c r="F83" s="2" t="s">
        <v>67</v>
      </c>
      <c r="G83" s="10" t="str">
        <f t="shared" si="16"/>
        <v>52852.487</v>
      </c>
      <c r="H83" s="14">
        <f t="shared" si="17"/>
        <v>4142</v>
      </c>
      <c r="I83" s="51" t="s">
        <v>268</v>
      </c>
      <c r="J83" s="52" t="s">
        <v>269</v>
      </c>
      <c r="K83" s="51" t="s">
        <v>270</v>
      </c>
      <c r="L83" s="51" t="s">
        <v>197</v>
      </c>
      <c r="M83" s="52" t="s">
        <v>240</v>
      </c>
      <c r="N83" s="52"/>
      <c r="O83" s="53" t="s">
        <v>271</v>
      </c>
      <c r="P83" s="54" t="s">
        <v>272</v>
      </c>
    </row>
    <row r="84" spans="1:16" ht="12.75" customHeight="1" thickBot="1" x14ac:dyDescent="0.25">
      <c r="A84" s="14" t="str">
        <f t="shared" si="12"/>
        <v>BAVM 203 </v>
      </c>
      <c r="B84" s="2" t="str">
        <f t="shared" si="13"/>
        <v>I</v>
      </c>
      <c r="C84" s="14">
        <f t="shared" si="14"/>
        <v>53896.450299999997</v>
      </c>
      <c r="D84" s="10" t="str">
        <f t="shared" si="15"/>
        <v>CCD</v>
      </c>
      <c r="E84" s="50">
        <f>VLOOKUP(C84,Active!C$21:E$967,3,FALSE)</f>
        <v>4635.0200371937144</v>
      </c>
      <c r="F84" s="2" t="str">
        <f>LEFT(M84,1)</f>
        <v>C</v>
      </c>
      <c r="G84" s="10" t="str">
        <f t="shared" si="16"/>
        <v>53896.4503</v>
      </c>
      <c r="H84" s="14">
        <f t="shared" si="17"/>
        <v>4635</v>
      </c>
      <c r="I84" s="51" t="s">
        <v>300</v>
      </c>
      <c r="J84" s="52" t="s">
        <v>301</v>
      </c>
      <c r="K84" s="51" t="s">
        <v>302</v>
      </c>
      <c r="L84" s="51" t="s">
        <v>303</v>
      </c>
      <c r="M84" s="52" t="s">
        <v>282</v>
      </c>
      <c r="N84" s="52" t="s">
        <v>67</v>
      </c>
      <c r="O84" s="53" t="s">
        <v>304</v>
      </c>
      <c r="P84" s="54" t="s">
        <v>305</v>
      </c>
    </row>
    <row r="85" spans="1:16" ht="12.75" customHeight="1" thickBot="1" x14ac:dyDescent="0.25">
      <c r="A85" s="14" t="str">
        <f t="shared" si="12"/>
        <v>BAVM 212 </v>
      </c>
      <c r="B85" s="2" t="str">
        <f t="shared" si="13"/>
        <v>I</v>
      </c>
      <c r="C85" s="14">
        <f t="shared" si="14"/>
        <v>55048.417800000003</v>
      </c>
      <c r="D85" s="10" t="str">
        <f t="shared" si="15"/>
        <v>CCD</v>
      </c>
      <c r="E85" s="50">
        <f>VLOOKUP(C85,Active!C$21:E$967,3,FALSE)</f>
        <v>5179.0265408993937</v>
      </c>
      <c r="F85" s="2" t="str">
        <f>LEFT(M85,1)</f>
        <v>C</v>
      </c>
      <c r="G85" s="10" t="str">
        <f t="shared" si="16"/>
        <v>55048.4178</v>
      </c>
      <c r="H85" s="14">
        <f t="shared" si="17"/>
        <v>5179</v>
      </c>
      <c r="I85" s="51" t="s">
        <v>311</v>
      </c>
      <c r="J85" s="52" t="s">
        <v>312</v>
      </c>
      <c r="K85" s="51" t="s">
        <v>313</v>
      </c>
      <c r="L85" s="51" t="s">
        <v>314</v>
      </c>
      <c r="M85" s="52" t="s">
        <v>282</v>
      </c>
      <c r="N85" s="52" t="s">
        <v>254</v>
      </c>
      <c r="O85" s="53" t="s">
        <v>315</v>
      </c>
      <c r="P85" s="54" t="s">
        <v>316</v>
      </c>
    </row>
    <row r="86" spans="1:16" ht="12.75" customHeight="1" thickBot="1" x14ac:dyDescent="0.25">
      <c r="A86" s="14" t="str">
        <f t="shared" si="12"/>
        <v>BAVM 212 </v>
      </c>
      <c r="B86" s="2" t="str">
        <f t="shared" si="13"/>
        <v>I</v>
      </c>
      <c r="C86" s="14">
        <f t="shared" si="14"/>
        <v>55084.413999999997</v>
      </c>
      <c r="D86" s="10" t="str">
        <f t="shared" si="15"/>
        <v>CCD</v>
      </c>
      <c r="E86" s="50">
        <f>VLOOKUP(C86,Active!C$21:E$967,3,FALSE)</f>
        <v>5196.0254292436284</v>
      </c>
      <c r="F86" s="2" t="str">
        <f>LEFT(M86,1)</f>
        <v>C</v>
      </c>
      <c r="G86" s="10" t="str">
        <f t="shared" si="16"/>
        <v>55084.4140</v>
      </c>
      <c r="H86" s="14">
        <f t="shared" si="17"/>
        <v>5196</v>
      </c>
      <c r="I86" s="51" t="s">
        <v>317</v>
      </c>
      <c r="J86" s="52" t="s">
        <v>318</v>
      </c>
      <c r="K86" s="51" t="s">
        <v>319</v>
      </c>
      <c r="L86" s="51" t="s">
        <v>320</v>
      </c>
      <c r="M86" s="52" t="s">
        <v>282</v>
      </c>
      <c r="N86" s="52" t="s">
        <v>260</v>
      </c>
      <c r="O86" s="53" t="s">
        <v>299</v>
      </c>
      <c r="P86" s="54" t="s">
        <v>316</v>
      </c>
    </row>
    <row r="87" spans="1:16" ht="12.75" customHeight="1" thickBot="1" x14ac:dyDescent="0.25">
      <c r="A87" s="14" t="str">
        <f t="shared" si="12"/>
        <v>OEJV 0137 </v>
      </c>
      <c r="B87" s="2" t="str">
        <f t="shared" si="13"/>
        <v>I</v>
      </c>
      <c r="C87" s="14">
        <f t="shared" si="14"/>
        <v>55374.521099999998</v>
      </c>
      <c r="D87" s="10" t="str">
        <f t="shared" si="15"/>
        <v>CCD</v>
      </c>
      <c r="E87" s="50" t="e">
        <f>VLOOKUP(C87,Active!C$21:E$967,3,FALSE)</f>
        <v>#N/A</v>
      </c>
      <c r="F87" s="2" t="str">
        <f>LEFT(M87,1)</f>
        <v>C</v>
      </c>
      <c r="G87" s="10" t="str">
        <f t="shared" si="16"/>
        <v>55374.5211</v>
      </c>
      <c r="H87" s="14">
        <f t="shared" si="17"/>
        <v>5333</v>
      </c>
      <c r="I87" s="51" t="s">
        <v>321</v>
      </c>
      <c r="J87" s="52" t="s">
        <v>322</v>
      </c>
      <c r="K87" s="51" t="s">
        <v>323</v>
      </c>
      <c r="L87" s="51" t="s">
        <v>324</v>
      </c>
      <c r="M87" s="52" t="s">
        <v>282</v>
      </c>
      <c r="N87" s="52" t="s">
        <v>43</v>
      </c>
      <c r="O87" s="53" t="s">
        <v>325</v>
      </c>
      <c r="P87" s="54" t="s">
        <v>326</v>
      </c>
    </row>
    <row r="88" spans="1:16" ht="12.75" customHeight="1" thickBot="1" x14ac:dyDescent="0.25">
      <c r="A88" s="14" t="str">
        <f t="shared" si="12"/>
        <v>OEJV 0137 </v>
      </c>
      <c r="B88" s="2" t="str">
        <f t="shared" si="13"/>
        <v>I</v>
      </c>
      <c r="C88" s="14">
        <f t="shared" si="14"/>
        <v>55374.522700000001</v>
      </c>
      <c r="D88" s="10" t="str">
        <f t="shared" si="15"/>
        <v>vis</v>
      </c>
      <c r="E88" s="50" t="e">
        <f>VLOOKUP(C88,Active!C$21:E$967,3,FALSE)</f>
        <v>#N/A</v>
      </c>
      <c r="F88" s="2" t="s">
        <v>67</v>
      </c>
      <c r="G88" s="10" t="str">
        <f t="shared" si="16"/>
        <v>55374.5227</v>
      </c>
      <c r="H88" s="14">
        <f t="shared" si="17"/>
        <v>5333</v>
      </c>
      <c r="I88" s="51" t="s">
        <v>327</v>
      </c>
      <c r="J88" s="52" t="s">
        <v>328</v>
      </c>
      <c r="K88" s="51" t="s">
        <v>323</v>
      </c>
      <c r="L88" s="51" t="s">
        <v>329</v>
      </c>
      <c r="M88" s="52" t="s">
        <v>282</v>
      </c>
      <c r="N88" s="52" t="s">
        <v>330</v>
      </c>
      <c r="O88" s="53" t="s">
        <v>325</v>
      </c>
      <c r="P88" s="54" t="s">
        <v>326</v>
      </c>
    </row>
    <row r="89" spans="1:16" ht="12.75" customHeight="1" thickBot="1" x14ac:dyDescent="0.25">
      <c r="A89" s="14" t="str">
        <f t="shared" si="12"/>
        <v>BAVM 225 </v>
      </c>
      <c r="B89" s="2" t="str">
        <f t="shared" si="13"/>
        <v>I</v>
      </c>
      <c r="C89" s="14">
        <f t="shared" si="14"/>
        <v>55857.326300000001</v>
      </c>
      <c r="D89" s="10" t="str">
        <f t="shared" si="15"/>
        <v>vis</v>
      </c>
      <c r="E89" s="50">
        <f>VLOOKUP(C89,Active!C$21:E$967,3,FALSE)</f>
        <v>5561.0264540070139</v>
      </c>
      <c r="F89" s="2" t="s">
        <v>67</v>
      </c>
      <c r="G89" s="10" t="str">
        <f t="shared" si="16"/>
        <v>55857.3263</v>
      </c>
      <c r="H89" s="14">
        <f t="shared" si="17"/>
        <v>5561</v>
      </c>
      <c r="I89" s="51" t="s">
        <v>343</v>
      </c>
      <c r="J89" s="52" t="s">
        <v>344</v>
      </c>
      <c r="K89" s="51">
        <v>5561</v>
      </c>
      <c r="L89" s="51" t="s">
        <v>345</v>
      </c>
      <c r="M89" s="52" t="s">
        <v>282</v>
      </c>
      <c r="N89" s="52" t="s">
        <v>346</v>
      </c>
      <c r="O89" s="53" t="s">
        <v>347</v>
      </c>
      <c r="P89" s="54" t="s">
        <v>348</v>
      </c>
    </row>
    <row r="90" spans="1:16" ht="12.75" customHeight="1" thickBot="1" x14ac:dyDescent="0.25">
      <c r="A90" s="14" t="str">
        <f t="shared" si="12"/>
        <v>BAVM 241 (=IBVS 6157) </v>
      </c>
      <c r="B90" s="2" t="str">
        <f t="shared" si="13"/>
        <v>I</v>
      </c>
      <c r="C90" s="14">
        <f t="shared" si="14"/>
        <v>57210.453000000001</v>
      </c>
      <c r="D90" s="10" t="str">
        <f t="shared" si="15"/>
        <v>vis</v>
      </c>
      <c r="E90" s="50">
        <f>VLOOKUP(C90,Active!C$21:E$967,3,FALSE)</f>
        <v>6200.0286178161487</v>
      </c>
      <c r="F90" s="2" t="s">
        <v>67</v>
      </c>
      <c r="G90" s="10" t="str">
        <f t="shared" si="16"/>
        <v>57210.453</v>
      </c>
      <c r="H90" s="14">
        <f t="shared" si="17"/>
        <v>6200</v>
      </c>
      <c r="I90" s="51" t="s">
        <v>359</v>
      </c>
      <c r="J90" s="52" t="s">
        <v>360</v>
      </c>
      <c r="K90" s="51">
        <v>6200</v>
      </c>
      <c r="L90" s="51" t="s">
        <v>361</v>
      </c>
      <c r="M90" s="52" t="s">
        <v>282</v>
      </c>
      <c r="N90" s="52">
        <v>0</v>
      </c>
      <c r="O90" s="53" t="s">
        <v>283</v>
      </c>
      <c r="P90" s="54" t="s">
        <v>362</v>
      </c>
    </row>
    <row r="91" spans="1:16" x14ac:dyDescent="0.2">
      <c r="B91" s="2"/>
      <c r="F91" s="2"/>
    </row>
    <row r="92" spans="1:16" x14ac:dyDescent="0.2">
      <c r="B92" s="2"/>
      <c r="F92" s="2"/>
    </row>
    <row r="93" spans="1:16" x14ac:dyDescent="0.2">
      <c r="B93" s="2"/>
      <c r="F93" s="2"/>
    </row>
    <row r="94" spans="1:16" x14ac:dyDescent="0.2">
      <c r="B94" s="2"/>
      <c r="F94" s="2"/>
    </row>
    <row r="95" spans="1:16" x14ac:dyDescent="0.2">
      <c r="B95" s="2"/>
      <c r="F95" s="2"/>
    </row>
    <row r="96" spans="1:1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</sheetData>
  <phoneticPr fontId="8" type="noConversion"/>
  <hyperlinks>
    <hyperlink ref="P81" r:id="rId1" display="http://www.konkoly.hu/cgi-bin/IBVS?5040"/>
    <hyperlink ref="P13" r:id="rId2" display="http://www.bav-astro.de/sfs/BAVM_link.php?BAVMnr=152"/>
    <hyperlink ref="P14" r:id="rId3" display="http://www.bav-astro.de/sfs/BAVM_link.php?BAVMnr=152"/>
    <hyperlink ref="P82" r:id="rId4" display="http://www.konkoly.hu/cgi-bin/IBVS?5493"/>
    <hyperlink ref="P83" r:id="rId5" display="http://www.bav-astro.de/sfs/BAVM_link.php?BAVMnr=171"/>
    <hyperlink ref="P15" r:id="rId6" display="http://www.bav-astro.de/sfs/BAVM_link.php?BAVMnr=174"/>
    <hyperlink ref="P16" r:id="rId7" display="http://www.bav-astro.de/sfs/BAVM_link.php?BAVMnr=178"/>
    <hyperlink ref="P17" r:id="rId8" display="http://www.konkoly.hu/cgi-bin/IBVS?5745"/>
    <hyperlink ref="P18" r:id="rId9" display="http://www.konkoly.hu/cgi-bin/IBVS?5745"/>
    <hyperlink ref="P19" r:id="rId10" display="http://www.bav-astro.de/sfs/BAVM_link.php?BAVMnr=178"/>
    <hyperlink ref="P84" r:id="rId11" display="http://www.bav-astro.de/sfs/BAVM_link.php?BAVMnr=203"/>
    <hyperlink ref="P20" r:id="rId12" display="http://www.bav-astro.de/sfs/BAVM_link.php?BAVMnr=183"/>
    <hyperlink ref="P85" r:id="rId13" display="http://www.bav-astro.de/sfs/BAVM_link.php?BAVMnr=212"/>
    <hyperlink ref="P86" r:id="rId14" display="http://www.bav-astro.de/sfs/BAVM_link.php?BAVMnr=212"/>
    <hyperlink ref="P87" r:id="rId15" display="http://var.astro.cz/oejv/issues/oejv0137.pdf"/>
    <hyperlink ref="P88" r:id="rId16" display="http://var.astro.cz/oejv/issues/oejv0137.pdf"/>
    <hyperlink ref="P21" r:id="rId17" display="http://www.bav-astro.de/sfs/BAVM_link.php?BAVMnr=215"/>
    <hyperlink ref="P22" r:id="rId18" display="http://www.bav-astro.de/sfs/BAVM_link.php?BAVMnr=220"/>
    <hyperlink ref="P23" r:id="rId19" display="http://www.bav-astro.de/sfs/BAVM_link.php?BAVMnr=215"/>
    <hyperlink ref="P89" r:id="rId20" display="http://www.bav-astro.de/sfs/BAVM_link.php?BAVMnr=225"/>
    <hyperlink ref="P24" r:id="rId21" display="http://www.bav-astro.de/sfs/BAVM_link.php?BAVMnr=231"/>
    <hyperlink ref="P25" r:id="rId22" display="http://www.bav-astro.de/sfs/BAVM_link.php?BAVMnr=238"/>
    <hyperlink ref="P90" r:id="rId23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2024-01-31T03:26:22Z</dcterms:modified>
</cp:coreProperties>
</file>