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7AE4AB-4ABC-4033-8D2F-832AA8B790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" i="1" l="1"/>
  <c r="D9" i="1"/>
  <c r="C9" i="1"/>
  <c r="F16" i="1"/>
  <c r="F17" i="1" s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/>
  <c r="Q45" i="1"/>
  <c r="Q46" i="1"/>
  <c r="G35" i="2"/>
  <c r="C35" i="2"/>
  <c r="G34" i="2"/>
  <c r="C34" i="2"/>
  <c r="G16" i="2"/>
  <c r="C16" i="2"/>
  <c r="G15" i="2"/>
  <c r="C15" i="2"/>
  <c r="G14" i="2"/>
  <c r="C14" i="2"/>
  <c r="G13" i="2"/>
  <c r="C13" i="2"/>
  <c r="G33" i="2"/>
  <c r="C3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35" i="2"/>
  <c r="B35" i="2"/>
  <c r="D35" i="2"/>
  <c r="A35" i="2"/>
  <c r="H34" i="2"/>
  <c r="D34" i="2"/>
  <c r="B34" i="2"/>
  <c r="A34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33" i="2"/>
  <c r="B33" i="2"/>
  <c r="D33" i="2"/>
  <c r="A33" i="2"/>
  <c r="H12" i="2"/>
  <c r="D12" i="2"/>
  <c r="B12" i="2"/>
  <c r="A12" i="2"/>
  <c r="H11" i="2"/>
  <c r="B11" i="2"/>
  <c r="D11" i="2"/>
  <c r="A11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42" i="1"/>
  <c r="Q43" i="1"/>
  <c r="Q44" i="1"/>
  <c r="C17" i="1"/>
  <c r="Q38" i="1"/>
  <c r="Q39" i="1"/>
  <c r="Q41" i="1"/>
  <c r="C7" i="1"/>
  <c r="E41" i="1"/>
  <c r="C8" i="1"/>
  <c r="Q25" i="1"/>
  <c r="E33" i="2"/>
  <c r="E31" i="2"/>
  <c r="E34" i="2"/>
  <c r="F41" i="1"/>
  <c r="E13" i="2"/>
  <c r="E27" i="2"/>
  <c r="E32" i="2"/>
  <c r="E14" i="2"/>
  <c r="E12" i="2"/>
  <c r="E29" i="2"/>
  <c r="E35" i="2"/>
  <c r="E32" i="1"/>
  <c r="F32" i="1"/>
  <c r="G32" i="1"/>
  <c r="I32" i="1"/>
  <c r="G25" i="1"/>
  <c r="H25" i="1"/>
  <c r="G42" i="1"/>
  <c r="J42" i="1"/>
  <c r="E39" i="1"/>
  <c r="F39" i="1"/>
  <c r="G39" i="1"/>
  <c r="J39" i="1"/>
  <c r="E30" i="1"/>
  <c r="E35" i="1"/>
  <c r="E27" i="1"/>
  <c r="E21" i="1"/>
  <c r="E29" i="1"/>
  <c r="F29" i="1"/>
  <c r="G26" i="1"/>
  <c r="H26" i="1"/>
  <c r="E23" i="1"/>
  <c r="F23" i="1"/>
  <c r="G23" i="1"/>
  <c r="H23" i="1"/>
  <c r="E40" i="1"/>
  <c r="F40" i="1"/>
  <c r="U40" i="1"/>
  <c r="E24" i="1"/>
  <c r="G29" i="1"/>
  <c r="I29" i="1"/>
  <c r="E37" i="1"/>
  <c r="F37" i="1"/>
  <c r="G36" i="1"/>
  <c r="I36" i="1"/>
  <c r="E34" i="1"/>
  <c r="F34" i="1"/>
  <c r="G34" i="1"/>
  <c r="I34" i="1"/>
  <c r="G22" i="1"/>
  <c r="H22" i="1"/>
  <c r="E25" i="1"/>
  <c r="F25" i="1"/>
  <c r="G44" i="1"/>
  <c r="J44" i="1"/>
  <c r="E42" i="1"/>
  <c r="F42" i="1"/>
  <c r="G37" i="1"/>
  <c r="I37" i="1"/>
  <c r="E45" i="1"/>
  <c r="F45" i="1"/>
  <c r="U45" i="1"/>
  <c r="E31" i="1"/>
  <c r="F31" i="1"/>
  <c r="G31" i="1"/>
  <c r="I31" i="1"/>
  <c r="E26" i="1"/>
  <c r="F26" i="1"/>
  <c r="G41" i="1"/>
  <c r="J41" i="1"/>
  <c r="E38" i="1"/>
  <c r="E43" i="1"/>
  <c r="E36" i="1"/>
  <c r="F36" i="1"/>
  <c r="E28" i="1"/>
  <c r="F28" i="1"/>
  <c r="G28" i="1"/>
  <c r="I28" i="1"/>
  <c r="E22" i="1"/>
  <c r="F22" i="1"/>
  <c r="E44" i="1"/>
  <c r="F44" i="1"/>
  <c r="E47" i="1"/>
  <c r="F47" i="1"/>
  <c r="G47" i="1"/>
  <c r="K47" i="1"/>
  <c r="U46" i="1"/>
  <c r="E33" i="1"/>
  <c r="E46" i="1"/>
  <c r="F46" i="1"/>
  <c r="F35" i="1"/>
  <c r="G35" i="1"/>
  <c r="I35" i="1"/>
  <c r="E30" i="2"/>
  <c r="F38" i="1"/>
  <c r="G38" i="1"/>
  <c r="E11" i="2"/>
  <c r="E23" i="2"/>
  <c r="F43" i="1"/>
  <c r="G43" i="1"/>
  <c r="J43" i="1"/>
  <c r="E15" i="2"/>
  <c r="E17" i="2"/>
  <c r="F21" i="1"/>
  <c r="G21" i="1"/>
  <c r="H21" i="1"/>
  <c r="E24" i="2"/>
  <c r="E22" i="2"/>
  <c r="F27" i="1"/>
  <c r="G27" i="1"/>
  <c r="I27" i="1"/>
  <c r="E19" i="2"/>
  <c r="E26" i="2"/>
  <c r="F33" i="1"/>
  <c r="G33" i="1"/>
  <c r="I33" i="1"/>
  <c r="E28" i="2"/>
  <c r="F24" i="1"/>
  <c r="G24" i="1"/>
  <c r="H24" i="1"/>
  <c r="E20" i="2"/>
  <c r="F30" i="1"/>
  <c r="G30" i="1"/>
  <c r="I30" i="1"/>
  <c r="E25" i="2"/>
  <c r="E16" i="2"/>
  <c r="E18" i="2"/>
  <c r="E21" i="2"/>
  <c r="J38" i="1"/>
  <c r="C12" i="1"/>
  <c r="C11" i="1"/>
  <c r="O36" i="1" l="1"/>
  <c r="O26" i="1"/>
  <c r="O42" i="1"/>
  <c r="O29" i="1"/>
  <c r="O24" i="1"/>
  <c r="O40" i="1"/>
  <c r="O32" i="1"/>
  <c r="O25" i="1"/>
  <c r="O43" i="1"/>
  <c r="O41" i="1"/>
  <c r="O34" i="1"/>
  <c r="O47" i="1"/>
  <c r="O22" i="1"/>
  <c r="O27" i="1"/>
  <c r="O31" i="1"/>
  <c r="O45" i="1"/>
  <c r="C15" i="1"/>
  <c r="O37" i="1"/>
  <c r="O35" i="1"/>
  <c r="O28" i="1"/>
  <c r="O38" i="1"/>
  <c r="O30" i="1"/>
  <c r="O39" i="1"/>
  <c r="O33" i="1"/>
  <c r="O46" i="1"/>
  <c r="O21" i="1"/>
  <c r="O23" i="1"/>
  <c r="O4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<sst xmlns="http://schemas.openxmlformats.org/spreadsheetml/2006/main" count="311" uniqueCount="154">
  <si>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</si>
  <si>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</si>
  <si>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</si>
  <si>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</si>
  <si>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</si>
  <si>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</si>
  <si>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</si>
  <si>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</si>
  <si>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</si>
  <si>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</si>
  <si>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</si>
  <si>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</si>
  <si>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</si>
  <si>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</si>
  <si>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</si>
  <si>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</si>
  <si>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</si>
  <si>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</si>
  <si>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</si>
  <si>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</si>
  <si>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</si>
  <si>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</si>
  <si>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</si>
  <si>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</si>
  <si>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</si>
  <si>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</si>
  <si>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</si>
  <si>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</si>
  <si>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</si>
  <si>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</si>
  <si>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 5484</t>
  </si>
  <si>
    <t># of data points:</t>
  </si>
  <si>
    <t>EA/KE:</t>
  </si>
  <si>
    <t>IBVS 5731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</si>
  <si>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</si>
  <si>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</si>
  <si>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</si>
  <si>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</si>
  <si>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</si>
  <si>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</si>
  <si>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</si>
  <si>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</si>
  <si>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</si>
  <si>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</si>
  <si>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</si>
  <si>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</si>
  <si>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2428054.053 </t>
  </si>
  <si>
    <t> 08.09.1935 13:16 </t>
  </si>
  <si>
    <t> -0.015 </t>
  </si>
  <si>
    <t> A.A.Wachmann </t>
  </si>
  <si>
    <t> AAAN 11.5.33 </t>
  </si>
  <si>
    <t>2428377.932 </t>
  </si>
  <si>
    <t> 28.07.1936 10:22 </t>
  </si>
  <si>
    <t> -0.007 </t>
  </si>
  <si>
    <t>2428825.480 </t>
  </si>
  <si>
    <t> 18.10.1937 23:31 </t>
  </si>
  <si>
    <t> -0.013 </t>
  </si>
  <si>
    <t>2429192.708 </t>
  </si>
  <si>
    <t> 21.10.1938 04:59 </t>
  </si>
  <si>
    <t> -0.009 </t>
  </si>
  <si>
    <t>2429355.922 </t>
  </si>
  <si>
    <t> 02.04.1939 10:07 </t>
  </si>
  <si>
    <t> -0.006 </t>
  </si>
  <si>
    <t>2430169.464 </t>
  </si>
  <si>
    <t> 23.06.1941 23:08 </t>
  </si>
  <si>
    <t> 0.033 </t>
  </si>
  <si>
    <t>P </t>
  </si>
  <si>
    <t> E.Ahnert-Rohlfs </t>
  </si>
  <si>
    <t> VSS 2.142 </t>
  </si>
  <si>
    <t>2430828.597 </t>
  </si>
  <si>
    <t> 14.04.1943 02:19 </t>
  </si>
  <si>
    <t> -0.051 </t>
  </si>
  <si>
    <t>2431671.453 </t>
  </si>
  <si>
    <t> 03.08.1945 22:52 </t>
  </si>
  <si>
    <t> -0.025 </t>
  </si>
  <si>
    <t>2431703.364 </t>
  </si>
  <si>
    <t> 04.09.1945 20:44 </t>
  </si>
  <si>
    <t> 0.009 </t>
  </si>
  <si>
    <t>2431763.285 </t>
  </si>
  <si>
    <t> 03.11.1945 18:50 </t>
  </si>
  <si>
    <t> 0.001 </t>
  </si>
  <si>
    <t>2432297.525 </t>
  </si>
  <si>
    <t> 22.04.1947 00:36 </t>
  </si>
  <si>
    <t> -0.019 </t>
  </si>
  <si>
    <t>2432320.469 </t>
  </si>
  <si>
    <t> 14.05.1947 23:15 </t>
  </si>
  <si>
    <t> -0.027 </t>
  </si>
  <si>
    <t>2433186.330 </t>
  </si>
  <si>
    <t> 26.09.1949 19:55 </t>
  </si>
  <si>
    <t> 0.053 </t>
  </si>
  <si>
    <t>2433831.453 </t>
  </si>
  <si>
    <t> 03.07.1951 22:52 </t>
  </si>
  <si>
    <t> -0.016 </t>
  </si>
  <si>
    <t>2433891.405 </t>
  </si>
  <si>
    <t> 01.09.1951 21:43 </t>
  </si>
  <si>
    <t> 0.007 </t>
  </si>
  <si>
    <t>2433896.452 </t>
  </si>
  <si>
    <t> 06.09.1951 22:50 </t>
  </si>
  <si>
    <t> -0.046 </t>
  </si>
  <si>
    <t>2450314.5607 </t>
  </si>
  <si>
    <t> 19.08.1996 01:27 </t>
  </si>
  <si>
    <t> 0.0938 </t>
  </si>
  <si>
    <t>E </t>
  </si>
  <si>
    <t>o</t>
  </si>
  <si>
    <t> F.Agerer </t>
  </si>
  <si>
    <t>BAVM 158 </t>
  </si>
  <si>
    <t>2450712.3876 </t>
  </si>
  <si>
    <t> 20.09.1997 21:18 </t>
  </si>
  <si>
    <t> 0.0948 </t>
  </si>
  <si>
    <t>2451806.438 </t>
  </si>
  <si>
    <t> 18.09.2000 22:30 </t>
  </si>
  <si>
    <t> 0.124 </t>
  </si>
  <si>
    <t>?</t>
  </si>
  <si>
    <t> R.Diethelm </t>
  </si>
  <si>
    <t> BBS 123 </t>
  </si>
  <si>
    <t>2452112.4347 </t>
  </si>
  <si>
    <t> 21.07.2001 22:25 </t>
  </si>
  <si>
    <t> 0.1008 </t>
  </si>
  <si>
    <t>2453655.2922 </t>
  </si>
  <si>
    <t> 11.10.2005 19:00 </t>
  </si>
  <si>
    <t> 0.1078 </t>
  </si>
  <si>
    <t>C </t>
  </si>
  <si>
    <t>-I</t>
  </si>
  <si>
    <t>BAVM 178 </t>
  </si>
  <si>
    <t>2453660.3888 </t>
  </si>
  <si>
    <t> 16.10.2005 21:19 </t>
  </si>
  <si>
    <t>19165</t>
  </si>
  <si>
    <t> 0.1041 </t>
  </si>
  <si>
    <t>2453920.5081 </t>
  </si>
  <si>
    <t> 04.07.2006 00:11 </t>
  </si>
  <si>
    <t>19369</t>
  </si>
  <si>
    <t> 0.1065 </t>
  </si>
  <si>
    <t>2454240.5680 </t>
  </si>
  <si>
    <t> 20.05.2007 01:37 </t>
  </si>
  <si>
    <t>19620</t>
  </si>
  <si>
    <t> 0.1205 </t>
  </si>
  <si>
    <t> U.Schmidt </t>
  </si>
  <si>
    <t>BAVM 193 </t>
  </si>
  <si>
    <t>2454685.5691 </t>
  </si>
  <si>
    <t> 07.08.2008 01:39 </t>
  </si>
  <si>
    <t>19969</t>
  </si>
  <si>
    <t> 0.1177 </t>
  </si>
  <si>
    <t>BAVM 203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</si>
  <si>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</si>
  <si>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</si>
  <si>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</si>
  <si>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</si>
  <si>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</si>
  <si>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</si>
  <si>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</si>
  <si>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</si>
  <si>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</si>
  <si>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</si>
  <si>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V0493 Cyg / GSC 02675-02526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</si>
</sst>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2" fillId="24" borderId="18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7" fillId="0" borderId="10" xfId="0" applyFont="1" applyBorder="1" applyAlignment="1">
      <alignment horizontal="center"/>
    </xf>
    <xf numFmtId="0" fontId="8" fillId="0" borderId="0" xfId="0" applyFont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3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Cyg - O-C Diagr.</a:t>
            </a:r>
          </a:p>
        </c:rich>
      </c:tx>
      <c:layout>
        <c:manualLayout>
          <c:xMode val="edge"/>
          <c:yMode val="edge"/>
          <c:x val="0.3396226415094339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3018867924528"/>
          <c:y val="0.15"/>
          <c:w val="0.790566037735849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-1.4888999998220243E-2</c:v>
                </c:pt>
                <c:pt idx="1">
                  <c:v>-6.9709999988845084E-3</c:v>
                </c:pt>
                <c:pt idx="2">
                  <c:v>-1.3104000001476379E-2</c:v>
                </c:pt>
                <c:pt idx="3">
                  <c:v>-9.0080000009038486E-3</c:v>
                </c:pt>
                <c:pt idx="4">
                  <c:v>0</c:v>
                </c:pt>
                <c:pt idx="5">
                  <c:v>-5.6320000003324822E-3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3-45E5-A162-5EBAC7424E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3.3414000001357635E-2</c:v>
                </c:pt>
                <c:pt idx="7">
                  <c:v>-5.1496999996743398E-2</c:v>
                </c:pt>
                <c:pt idx="8">
                  <c:v>-2.5359999999636784E-2</c:v>
                </c:pt>
                <c:pt idx="9">
                  <c:v>8.5650000037276186E-3</c:v>
                </c:pt>
                <c:pt idx="10">
                  <c:v>6.6399999923305586E-4</c:v>
                </c:pt>
                <c:pt idx="11">
                  <c:v>-1.9112999998469604E-2</c:v>
                </c:pt>
                <c:pt idx="12">
                  <c:v>-2.660699999978533E-2</c:v>
                </c:pt>
                <c:pt idx="13">
                  <c:v>5.3036000004794914E-2</c:v>
                </c:pt>
                <c:pt idx="14">
                  <c:v>-1.5961999997671228E-2</c:v>
                </c:pt>
                <c:pt idx="15">
                  <c:v>7.1370000005117618E-3</c:v>
                </c:pt>
                <c:pt idx="16">
                  <c:v>-4.619500000262633E-2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3-45E5-A162-5EBAC7424E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9.3797000001359265E-2</c:v>
                </c:pt>
                <c:pt idx="18">
                  <c:v>9.4800999999279156E-2</c:v>
                </c:pt>
                <c:pt idx="20">
                  <c:v>0.10076699999626726</c:v>
                </c:pt>
                <c:pt idx="21">
                  <c:v>0.10783700000320096</c:v>
                </c:pt>
                <c:pt idx="22">
                  <c:v>0.10410500000580214</c:v>
                </c:pt>
                <c:pt idx="23">
                  <c:v>0.10647299999982351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3-45E5-A162-5EBAC7424E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0.13150100000348175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3-45E5-A162-5EBAC7424E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3-45E5-A162-5EBAC7424E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3-45E5-A162-5EBAC7424E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3-45E5-A162-5EBAC7424E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-1.5960010583122589E-2</c:v>
                </c:pt>
                <c:pt idx="1">
                  <c:v>-1.4393811464066765E-2</c:v>
                </c:pt>
                <c:pt idx="2">
                  <c:v>-1.2229496933403009E-2</c:v>
                </c:pt>
                <c:pt idx="3">
                  <c:v>-1.0453649113371209E-2</c:v>
                </c:pt>
                <c:pt idx="4">
                  <c:v>-1.0305661795035226E-2</c:v>
                </c:pt>
                <c:pt idx="5">
                  <c:v>-9.6643834155792988E-3</c:v>
                </c:pt>
                <c:pt idx="6">
                  <c:v>-5.7303872031477408E-3</c:v>
                </c:pt>
                <c:pt idx="7">
                  <c:v>-2.5424937206601E-3</c:v>
                </c:pt>
                <c:pt idx="8">
                  <c:v>1.5333236718434399E-3</c:v>
                </c:pt>
                <c:pt idx="9">
                  <c:v>1.687477128443424E-3</c:v>
                </c:pt>
                <c:pt idx="10">
                  <c:v>1.9772856268513907E-3</c:v>
                </c:pt>
                <c:pt idx="11">
                  <c:v>4.5608975594670989E-3</c:v>
                </c:pt>
                <c:pt idx="12">
                  <c:v>4.6718880482190875E-3</c:v>
                </c:pt>
                <c:pt idx="13">
                  <c:v>8.8586959294746151E-3</c:v>
                </c:pt>
                <c:pt idx="14">
                  <c:v>1.1978761891058263E-2</c:v>
                </c:pt>
                <c:pt idx="15">
                  <c:v>1.2268570389466233E-2</c:v>
                </c:pt>
                <c:pt idx="16">
                  <c:v>1.2293234942522227E-2</c:v>
                </c:pt>
                <c:pt idx="17">
                  <c:v>9.1688431229777281E-2</c:v>
                </c:pt>
                <c:pt idx="18">
                  <c:v>9.361226636814507E-2</c:v>
                </c:pt>
                <c:pt idx="19">
                  <c:v>9.890281299865647E-2</c:v>
                </c:pt>
                <c:pt idx="20">
                  <c:v>0.1003826861820163</c:v>
                </c:pt>
                <c:pt idx="21">
                  <c:v>0.10784371348145547</c:v>
                </c:pt>
                <c:pt idx="22">
                  <c:v>0.10786837803451146</c:v>
                </c:pt>
                <c:pt idx="23">
                  <c:v>0.10912627024036732</c:v>
                </c:pt>
                <c:pt idx="24">
                  <c:v>0.11067397094463115</c:v>
                </c:pt>
                <c:pt idx="25">
                  <c:v>0.1128259531987669</c:v>
                </c:pt>
                <c:pt idx="26">
                  <c:v>0.12875925447294112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3-45E5-A162-5EBAC7424E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9">
                  <c:v>0.12398700000630924</c:v>
                </c:pt>
                <c:pt idx="24">
                  <c:v>0.12054000000352971</c:v>
                </c:pt>
                <c:pt idx="25">
                  <c:v>0.11767300000065006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C3-45E5-A162-5EBAC742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45296"/>
        <c:axId val="1"/>
      </c:scatterChart>
      <c:valAx>
        <c:axId val="731145296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547169811320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16981132075473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4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4905660377358486E-2"/>
          <c:y val="0.91874999999999996"/>
          <c:w val="0.9075471698113207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Cyg - O-C Diagr.</a:t>
            </a:r>
          </a:p>
        </c:rich>
      </c:tx>
      <c:layout>
        <c:manualLayout>
          <c:xMode val="edge"/>
          <c:yMode val="edge"/>
          <c:x val="0.3257731958762886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-1.4888999998220243E-2</c:v>
                </c:pt>
                <c:pt idx="1">
                  <c:v>-6.9709999988845084E-3</c:v>
                </c:pt>
                <c:pt idx="2">
                  <c:v>-1.3104000001476379E-2</c:v>
                </c:pt>
                <c:pt idx="3">
                  <c:v>-9.0080000009038486E-3</c:v>
                </c:pt>
                <c:pt idx="4">
                  <c:v>0</c:v>
                </c:pt>
                <c:pt idx="5">
                  <c:v>-5.6320000003324822E-3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D9-41F5-A2CF-2624F3F88C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3.3414000001357635E-2</c:v>
                </c:pt>
                <c:pt idx="7">
                  <c:v>-5.1496999996743398E-2</c:v>
                </c:pt>
                <c:pt idx="8">
                  <c:v>-2.5359999999636784E-2</c:v>
                </c:pt>
                <c:pt idx="9">
                  <c:v>8.5650000037276186E-3</c:v>
                </c:pt>
                <c:pt idx="10">
                  <c:v>6.6399999923305586E-4</c:v>
                </c:pt>
                <c:pt idx="11">
                  <c:v>-1.9112999998469604E-2</c:v>
                </c:pt>
                <c:pt idx="12">
                  <c:v>-2.660699999978533E-2</c:v>
                </c:pt>
                <c:pt idx="13">
                  <c:v>5.3036000004794914E-2</c:v>
                </c:pt>
                <c:pt idx="14">
                  <c:v>-1.5961999997671228E-2</c:v>
                </c:pt>
                <c:pt idx="15">
                  <c:v>7.1370000005117618E-3</c:v>
                </c:pt>
                <c:pt idx="16">
                  <c:v>-4.619500000262633E-2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D9-41F5-A2CF-2624F3F88C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9.3797000001359265E-2</c:v>
                </c:pt>
                <c:pt idx="18">
                  <c:v>9.4800999999279156E-2</c:v>
                </c:pt>
                <c:pt idx="20">
                  <c:v>0.10076699999626726</c:v>
                </c:pt>
                <c:pt idx="21">
                  <c:v>0.10783700000320096</c:v>
                </c:pt>
                <c:pt idx="22">
                  <c:v>0.10410500000580214</c:v>
                </c:pt>
                <c:pt idx="23">
                  <c:v>0.10647299999982351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D9-41F5-A2CF-2624F3F88C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0.13150100000348175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D9-41F5-A2CF-2624F3F88C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D9-41F5-A2CF-2624F3F88C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D9-41F5-A2CF-2624F3F88C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8.9999999999999998E-4</c:v>
                  </c:pt>
                  <c:pt idx="21">
                    <c:v>2.2000000000000001E-3</c:v>
                  </c:pt>
                  <c:pt idx="22">
                    <c:v>1.4E-3</c:v>
                  </c:pt>
                  <c:pt idx="23">
                    <c:v>2.5000000000000001E-3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D9-41F5-A2CF-2624F3F88C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-917</c:v>
                </c:pt>
                <c:pt idx="1">
                  <c:v>-663</c:v>
                </c:pt>
                <c:pt idx="2">
                  <c:v>-312</c:v>
                </c:pt>
                <c:pt idx="3">
                  <c:v>-24</c:v>
                </c:pt>
                <c:pt idx="4">
                  <c:v>0</c:v>
                </c:pt>
                <c:pt idx="5">
                  <c:v>104</c:v>
                </c:pt>
                <c:pt idx="6">
                  <c:v>742</c:v>
                </c:pt>
                <c:pt idx="7">
                  <c:v>1259</c:v>
                </c:pt>
                <c:pt idx="8">
                  <c:v>1920</c:v>
                </c:pt>
                <c:pt idx="9">
                  <c:v>1945</c:v>
                </c:pt>
                <c:pt idx="10">
                  <c:v>1992</c:v>
                </c:pt>
                <c:pt idx="11">
                  <c:v>2411</c:v>
                </c:pt>
                <c:pt idx="12">
                  <c:v>2429</c:v>
                </c:pt>
                <c:pt idx="13">
                  <c:v>3108</c:v>
                </c:pt>
                <c:pt idx="14">
                  <c:v>3614</c:v>
                </c:pt>
                <c:pt idx="15">
                  <c:v>3661</c:v>
                </c:pt>
                <c:pt idx="16">
                  <c:v>3665</c:v>
                </c:pt>
                <c:pt idx="17">
                  <c:v>16541</c:v>
                </c:pt>
                <c:pt idx="18">
                  <c:v>16853</c:v>
                </c:pt>
                <c:pt idx="19">
                  <c:v>17711</c:v>
                </c:pt>
                <c:pt idx="20">
                  <c:v>17951</c:v>
                </c:pt>
                <c:pt idx="21">
                  <c:v>19161</c:v>
                </c:pt>
                <c:pt idx="22">
                  <c:v>19165</c:v>
                </c:pt>
                <c:pt idx="23">
                  <c:v>19369</c:v>
                </c:pt>
                <c:pt idx="24">
                  <c:v>19620</c:v>
                </c:pt>
                <c:pt idx="25">
                  <c:v>19969</c:v>
                </c:pt>
                <c:pt idx="26">
                  <c:v>22553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-1.5960010583122589E-2</c:v>
                </c:pt>
                <c:pt idx="1">
                  <c:v>-1.4393811464066765E-2</c:v>
                </c:pt>
                <c:pt idx="2">
                  <c:v>-1.2229496933403009E-2</c:v>
                </c:pt>
                <c:pt idx="3">
                  <c:v>-1.0453649113371209E-2</c:v>
                </c:pt>
                <c:pt idx="4">
                  <c:v>-1.0305661795035226E-2</c:v>
                </c:pt>
                <c:pt idx="5">
                  <c:v>-9.6643834155792988E-3</c:v>
                </c:pt>
                <c:pt idx="6">
                  <c:v>-5.7303872031477408E-3</c:v>
                </c:pt>
                <c:pt idx="7">
                  <c:v>-2.5424937206601E-3</c:v>
                </c:pt>
                <c:pt idx="8">
                  <c:v>1.5333236718434399E-3</c:v>
                </c:pt>
                <c:pt idx="9">
                  <c:v>1.687477128443424E-3</c:v>
                </c:pt>
                <c:pt idx="10">
                  <c:v>1.9772856268513907E-3</c:v>
                </c:pt>
                <c:pt idx="11">
                  <c:v>4.5608975594670989E-3</c:v>
                </c:pt>
                <c:pt idx="12">
                  <c:v>4.6718880482190875E-3</c:v>
                </c:pt>
                <c:pt idx="13">
                  <c:v>8.8586959294746151E-3</c:v>
                </c:pt>
                <c:pt idx="14">
                  <c:v>1.1978761891058263E-2</c:v>
                </c:pt>
                <c:pt idx="15">
                  <c:v>1.2268570389466233E-2</c:v>
                </c:pt>
                <c:pt idx="16">
                  <c:v>1.2293234942522227E-2</c:v>
                </c:pt>
                <c:pt idx="17">
                  <c:v>9.1688431229777281E-2</c:v>
                </c:pt>
                <c:pt idx="18">
                  <c:v>9.361226636814507E-2</c:v>
                </c:pt>
                <c:pt idx="19">
                  <c:v>9.890281299865647E-2</c:v>
                </c:pt>
                <c:pt idx="20">
                  <c:v>0.1003826861820163</c:v>
                </c:pt>
                <c:pt idx="21">
                  <c:v>0.10784371348145547</c:v>
                </c:pt>
                <c:pt idx="22">
                  <c:v>0.10786837803451146</c:v>
                </c:pt>
                <c:pt idx="23">
                  <c:v>0.10912627024036732</c:v>
                </c:pt>
                <c:pt idx="24">
                  <c:v>0.11067397094463115</c:v>
                </c:pt>
                <c:pt idx="25">
                  <c:v>0.1128259531987669</c:v>
                </c:pt>
                <c:pt idx="26">
                  <c:v>0.12875925447294112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D9-41F5-A2CF-2624F3F8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43856"/>
        <c:axId val="1"/>
      </c:scatterChart>
      <c:valAx>
        <c:axId val="73114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4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1900605882208652"/>
          <c:w val="0.8618556701030928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200025</xdr:colOff>
      <xdr:row>18</xdr:row>
      <xdr:rowOff>28574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5FD4534-513A-0D08-88A7-E6CC28B08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19050</xdr:rowOff>
    </xdr:from>
    <xdr:to>
      <xdr:col>27</xdr:col>
      <xdr:colOff>209550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9C37FE9-00F9-6527-E75F-3E134B70F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153</v>
      </c>
    </row>
    <row r="2" spans="1:6" x14ac:dyDescent="0.2">
      <c r="A2" t="s">
        <v>26</v>
      </c>
      <c r="B2" s="16" t="s">
        <v>32</v>
      </c>
    </row>
    <row r="4" spans="1:6" x14ac:dyDescent="0.2">
      <c r="A4" s="8" t="s">
        <v>1</v>
      </c>
      <c r="C4" s="3">
        <v>29223.319</v>
      </c>
      <c r="D4" s="4">
        <v>1.275083</v>
      </c>
    </row>
    <row r="5" spans="1:6" x14ac:dyDescent="0.2">
      <c r="A5" s="32" t="s">
        <v>144</v>
      </c>
      <c r="B5" s="17"/>
      <c r="C5" s="33">
        <v>-9.5</v>
      </c>
      <c r="D5" s="17" t="s">
        <v>145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29223.319</v>
      </c>
    </row>
    <row r="8" spans="1:6" x14ac:dyDescent="0.2">
      <c r="A8" t="s">
        <v>4</v>
      </c>
      <c r="C8">
        <f>+D4</f>
        <v>1.275083</v>
      </c>
    </row>
    <row r="9" spans="1:6" x14ac:dyDescent="0.2">
      <c r="A9" s="34" t="s">
        <v>146</v>
      </c>
      <c r="B9" s="35">
        <v>38</v>
      </c>
      <c r="C9" s="36" t="str">
        <f>"F"&amp;B9</f>
        <v>F38</v>
      </c>
      <c r="D9" s="37" t="str">
        <f>"G"&amp;B9</f>
        <v>G38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17</v>
      </c>
      <c r="C11" s="42">
        <f ca="1">INTERCEPT(INDIRECT($D$9):G978,INDIRECT($C$9):F978)</f>
        <v>-1.0305661795035226E-2</v>
      </c>
      <c r="D11" s="6"/>
    </row>
    <row r="12" spans="1:6" x14ac:dyDescent="0.2">
      <c r="A12" t="s">
        <v>18</v>
      </c>
      <c r="C12" s="42">
        <f ca="1">SLOPE(INDIRECT($D$9):G978,INDIRECT($C$9):F978)</f>
        <v>6.1661382639993055E-6</v>
      </c>
      <c r="D12" s="6"/>
    </row>
    <row r="13" spans="1:6" x14ac:dyDescent="0.2">
      <c r="A13" t="s">
        <v>20</v>
      </c>
      <c r="C13" s="6" t="s">
        <v>15</v>
      </c>
      <c r="D13" s="6"/>
    </row>
    <row r="14" spans="1:6" x14ac:dyDescent="0.2">
      <c r="A14" t="s">
        <v>25</v>
      </c>
    </row>
    <row r="15" spans="1:6" x14ac:dyDescent="0.2">
      <c r="A15" s="5" t="s">
        <v>19</v>
      </c>
      <c r="C15" s="13">
        <f ca="1">(C7+C11)+(C8+C12)*INT(MAX(F21:F3533))</f>
        <v>57980.394658254474</v>
      </c>
      <c r="E15" s="38" t="s">
        <v>147</v>
      </c>
      <c r="F15" s="33">
        <v>1</v>
      </c>
    </row>
    <row r="16" spans="1:6" x14ac:dyDescent="0.2">
      <c r="A16" s="8" t="s">
        <v>5</v>
      </c>
      <c r="C16" s="14">
        <f ca="1">+C8+C12</f>
        <v>1.275089166138264</v>
      </c>
      <c r="E16" s="38" t="s">
        <v>148</v>
      </c>
      <c r="F16" s="39">
        <f ca="1">NOW()+15018.5+$C$5/24</f>
        <v>60340.698096180553</v>
      </c>
    </row>
    <row r="17" spans="1:21" ht="13.5" thickBot="1" x14ac:dyDescent="0.25">
      <c r="A17" s="15" t="s">
        <v>31</v>
      </c>
      <c r="B17"/>
      <c r="C17">
        <f>COUNT(C21:C2191)</f>
        <v>27</v>
      </c>
      <c r="E17" s="38" t="s">
        <v>149</v>
      </c>
      <c r="F17" s="39">
        <f ca="1">ROUND(2*(F16-$C$7)/$C$8,0)/2+F15</f>
        <v>24405</v>
      </c>
    </row>
    <row r="18" spans="1:21" x14ac:dyDescent="0.2">
      <c r="A18" s="8" t="s">
        <v>6</v>
      </c>
      <c r="C18" s="3">
        <f ca="1">+C15</f>
        <v>57980.394658254474</v>
      </c>
      <c r="D18" s="4">
        <f ca="1">+C16</f>
        <v>1.275089166138264</v>
      </c>
      <c r="E18" s="38" t="s">
        <v>150</v>
      </c>
      <c r="F18" s="37">
        <f ca="1">ROUND(2*(F16-$C$15)/$C$16,0)/2+F15</f>
        <v>1852</v>
      </c>
    </row>
    <row r="19" spans="1:21" ht="13.5" thickTop="1" x14ac:dyDescent="0.2">
      <c r="E19" s="38" t="s">
        <v>151</v>
      </c>
      <c r="F19" s="40">
        <f ca="1">+$C$15+$C$16*F18-15018.5-$C$5/24</f>
        <v>45323.755627275874</v>
      </c>
    </row>
    <row r="20" spans="1:2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41</v>
      </c>
      <c r="I20" s="10" t="s">
        <v>44</v>
      </c>
      <c r="J20" s="10" t="s">
        <v>38</v>
      </c>
      <c r="K20" s="10" t="s">
        <v>36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41" t="s">
        <v>152</v>
      </c>
    </row>
    <row r="21" spans="1:21" x14ac:dyDescent="0.2">
      <c r="A21" s="31" t="s">
        <v>50</v>
      </c>
      <c r="B21" s="45" t="s">
        <v>143</v>
      </c>
      <c r="C21" s="31">
        <v>28054.053</v>
      </c>
      <c r="D21" s="31" t="s">
        <v>44</v>
      </c>
      <c r="E21">
        <f t="shared" ref="E21:E46" si="0">+(C21-C$7)/C$8</f>
        <v>-917.01167688691612</v>
      </c>
      <c r="F21">
        <f t="shared" ref="F21:F47" si="1">ROUND(2*E21,0)/2</f>
        <v>-917</v>
      </c>
      <c r="G21">
        <f t="shared" ref="G21:G39" si="2">+C21-(C$7+F21*C$8)</f>
        <v>-1.4888999998220243E-2</v>
      </c>
      <c r="H21" s="12">
        <f>G21</f>
        <v>-1.4888999998220243E-2</v>
      </c>
      <c r="J21" s="6"/>
      <c r="O21">
        <f t="shared" ref="O21:O46" ca="1" si="3">+C$11+C$12*F21</f>
        <v>-1.5960010583122589E-2</v>
      </c>
      <c r="Q21" s="2">
        <f t="shared" ref="Q21:Q46" si="4">+C21-15018.5</f>
        <v>13035.553</v>
      </c>
    </row>
    <row r="22" spans="1:21" x14ac:dyDescent="0.2">
      <c r="A22" s="31" t="s">
        <v>50</v>
      </c>
      <c r="B22" s="45" t="s">
        <v>143</v>
      </c>
      <c r="C22" s="31">
        <v>28377.932000000001</v>
      </c>
      <c r="D22" s="31" t="s">
        <v>44</v>
      </c>
      <c r="E22">
        <f t="shared" si="0"/>
        <v>-663.00546709508228</v>
      </c>
      <c r="F22">
        <f t="shared" si="1"/>
        <v>-663</v>
      </c>
      <c r="G22">
        <f t="shared" si="2"/>
        <v>-6.9709999988845084E-3</v>
      </c>
      <c r="H22" s="12">
        <f>G22</f>
        <v>-6.9709999988845084E-3</v>
      </c>
      <c r="J22" s="6"/>
      <c r="O22">
        <f t="shared" ca="1" si="3"/>
        <v>-1.4393811464066765E-2</v>
      </c>
      <c r="Q22" s="2">
        <f t="shared" si="4"/>
        <v>13359.432000000001</v>
      </c>
    </row>
    <row r="23" spans="1:21" x14ac:dyDescent="0.2">
      <c r="A23" s="31" t="s">
        <v>50</v>
      </c>
      <c r="B23" s="45" t="s">
        <v>143</v>
      </c>
      <c r="C23" s="31">
        <v>28825.48</v>
      </c>
      <c r="D23" s="31" t="s">
        <v>44</v>
      </c>
      <c r="E23">
        <f t="shared" si="0"/>
        <v>-312.01027697804767</v>
      </c>
      <c r="F23">
        <f t="shared" si="1"/>
        <v>-312</v>
      </c>
      <c r="G23">
        <f t="shared" si="2"/>
        <v>-1.3104000001476379E-2</v>
      </c>
      <c r="H23" s="12">
        <f>G23</f>
        <v>-1.3104000001476379E-2</v>
      </c>
      <c r="J23" s="6"/>
      <c r="O23">
        <f t="shared" ca="1" si="3"/>
        <v>-1.2229496933403009E-2</v>
      </c>
      <c r="Q23" s="2">
        <f t="shared" si="4"/>
        <v>13806.98</v>
      </c>
    </row>
    <row r="24" spans="1:21" x14ac:dyDescent="0.2">
      <c r="A24" s="31" t="s">
        <v>50</v>
      </c>
      <c r="B24" s="45" t="s">
        <v>143</v>
      </c>
      <c r="C24" s="31">
        <v>29192.707999999999</v>
      </c>
      <c r="D24" s="31" t="s">
        <v>44</v>
      </c>
      <c r="E24">
        <f t="shared" si="0"/>
        <v>-24.007064638145742</v>
      </c>
      <c r="F24">
        <f t="shared" si="1"/>
        <v>-24</v>
      </c>
      <c r="G24">
        <f t="shared" si="2"/>
        <v>-9.0080000009038486E-3</v>
      </c>
      <c r="H24" s="12">
        <f>G24</f>
        <v>-9.0080000009038486E-3</v>
      </c>
      <c r="J24" s="6"/>
      <c r="O24">
        <f t="shared" ca="1" si="3"/>
        <v>-1.0453649113371209E-2</v>
      </c>
      <c r="Q24" s="2">
        <f t="shared" si="4"/>
        <v>14174.207999999999</v>
      </c>
    </row>
    <row r="25" spans="1:21" x14ac:dyDescent="0.2">
      <c r="A25" t="s">
        <v>13</v>
      </c>
      <c r="C25" s="11">
        <v>29223.319</v>
      </c>
      <c r="D25" s="11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-1.0305661795035226E-2</v>
      </c>
      <c r="Q25" s="2">
        <f t="shared" si="4"/>
        <v>14204.819</v>
      </c>
    </row>
    <row r="26" spans="1:21" x14ac:dyDescent="0.2">
      <c r="A26" s="31" t="s">
        <v>50</v>
      </c>
      <c r="B26" s="45" t="s">
        <v>143</v>
      </c>
      <c r="C26" s="31">
        <v>29355.921999999999</v>
      </c>
      <c r="D26" s="31" t="s">
        <v>44</v>
      </c>
      <c r="E26">
        <f t="shared" si="0"/>
        <v>103.99558303263329</v>
      </c>
      <c r="F26">
        <f t="shared" si="1"/>
        <v>104</v>
      </c>
      <c r="G26">
        <f t="shared" si="2"/>
        <v>-5.6320000003324822E-3</v>
      </c>
      <c r="H26" s="12">
        <f>G26</f>
        <v>-5.6320000003324822E-3</v>
      </c>
      <c r="J26" s="6"/>
      <c r="O26">
        <f t="shared" ca="1" si="3"/>
        <v>-9.6643834155792988E-3</v>
      </c>
      <c r="Q26" s="2">
        <f t="shared" si="4"/>
        <v>14337.421999999999</v>
      </c>
    </row>
    <row r="27" spans="1:21" x14ac:dyDescent="0.2">
      <c r="A27" s="31" t="s">
        <v>68</v>
      </c>
      <c r="B27" s="45" t="s">
        <v>143</v>
      </c>
      <c r="C27" s="31">
        <v>30169.464</v>
      </c>
      <c r="D27" s="31" t="s">
        <v>44</v>
      </c>
      <c r="E27">
        <f t="shared" si="0"/>
        <v>742.0262053529068</v>
      </c>
      <c r="F27">
        <f t="shared" si="1"/>
        <v>742</v>
      </c>
      <c r="G27">
        <f t="shared" si="2"/>
        <v>3.3414000001357635E-2</v>
      </c>
      <c r="H27" s="12"/>
      <c r="I27" s="12">
        <f t="shared" ref="I27:I37" si="5">G27</f>
        <v>3.3414000001357635E-2</v>
      </c>
      <c r="J27" s="6"/>
      <c r="O27">
        <f t="shared" ca="1" si="3"/>
        <v>-5.7303872031477408E-3</v>
      </c>
      <c r="Q27" s="2">
        <f t="shared" si="4"/>
        <v>15150.964</v>
      </c>
    </row>
    <row r="28" spans="1:21" x14ac:dyDescent="0.2">
      <c r="A28" s="31" t="s">
        <v>68</v>
      </c>
      <c r="B28" s="45" t="s">
        <v>143</v>
      </c>
      <c r="C28" s="31">
        <v>30828.597000000002</v>
      </c>
      <c r="D28" s="31" t="s">
        <v>44</v>
      </c>
      <c r="E28">
        <f t="shared" si="0"/>
        <v>1258.959612825206</v>
      </c>
      <c r="F28">
        <f t="shared" si="1"/>
        <v>1259</v>
      </c>
      <c r="G28">
        <f t="shared" si="2"/>
        <v>-5.1496999996743398E-2</v>
      </c>
      <c r="H28" s="12"/>
      <c r="I28" s="12">
        <f t="shared" si="5"/>
        <v>-5.1496999996743398E-2</v>
      </c>
      <c r="J28" s="6"/>
      <c r="O28">
        <f t="shared" ca="1" si="3"/>
        <v>-2.5424937206601E-3</v>
      </c>
      <c r="Q28" s="2">
        <f t="shared" si="4"/>
        <v>15810.097000000002</v>
      </c>
    </row>
    <row r="29" spans="1:21" x14ac:dyDescent="0.2">
      <c r="A29" s="31" t="s">
        <v>68</v>
      </c>
      <c r="B29" s="45" t="s">
        <v>143</v>
      </c>
      <c r="C29" s="31">
        <v>31671.453000000001</v>
      </c>
      <c r="D29" s="31" t="s">
        <v>44</v>
      </c>
      <c r="E29">
        <f t="shared" si="0"/>
        <v>1919.9801110986516</v>
      </c>
      <c r="F29">
        <f t="shared" si="1"/>
        <v>1920</v>
      </c>
      <c r="G29">
        <f t="shared" si="2"/>
        <v>-2.5359999999636784E-2</v>
      </c>
      <c r="H29" s="12"/>
      <c r="I29" s="12">
        <f t="shared" si="5"/>
        <v>-2.5359999999636784E-2</v>
      </c>
      <c r="J29" s="6"/>
      <c r="O29">
        <f t="shared" ca="1" si="3"/>
        <v>1.5333236718434399E-3</v>
      </c>
      <c r="Q29" s="2">
        <f t="shared" si="4"/>
        <v>16652.953000000001</v>
      </c>
    </row>
    <row r="30" spans="1:21" x14ac:dyDescent="0.2">
      <c r="A30" s="31" t="s">
        <v>68</v>
      </c>
      <c r="B30" s="45" t="s">
        <v>143</v>
      </c>
      <c r="C30" s="31">
        <v>31703.364000000001</v>
      </c>
      <c r="D30" s="31" t="s">
        <v>44</v>
      </c>
      <c r="E30">
        <f t="shared" si="0"/>
        <v>1945.0067172097831</v>
      </c>
      <c r="F30">
        <f t="shared" si="1"/>
        <v>1945</v>
      </c>
      <c r="G30">
        <f t="shared" si="2"/>
        <v>8.5650000037276186E-3</v>
      </c>
      <c r="H30" s="12"/>
      <c r="I30" s="12">
        <f t="shared" si="5"/>
        <v>8.5650000037276186E-3</v>
      </c>
      <c r="J30" s="6"/>
      <c r="O30">
        <f t="shared" ca="1" si="3"/>
        <v>1.687477128443424E-3</v>
      </c>
      <c r="Q30" s="2">
        <f t="shared" si="4"/>
        <v>16684.864000000001</v>
      </c>
    </row>
    <row r="31" spans="1:21" x14ac:dyDescent="0.2">
      <c r="A31" s="31" t="s">
        <v>68</v>
      </c>
      <c r="B31" s="45" t="s">
        <v>143</v>
      </c>
      <c r="C31" s="31">
        <v>31763.285</v>
      </c>
      <c r="D31" s="31" t="s">
        <v>44</v>
      </c>
      <c r="E31">
        <f t="shared" si="0"/>
        <v>1992.0005207504141</v>
      </c>
      <c r="F31">
        <f t="shared" si="1"/>
        <v>1992</v>
      </c>
      <c r="G31">
        <f t="shared" si="2"/>
        <v>6.6399999923305586E-4</v>
      </c>
      <c r="H31" s="12"/>
      <c r="I31" s="12">
        <f t="shared" si="5"/>
        <v>6.6399999923305586E-4</v>
      </c>
      <c r="J31" s="6"/>
      <c r="O31">
        <f t="shared" ca="1" si="3"/>
        <v>1.9772856268513907E-3</v>
      </c>
      <c r="Q31" s="2">
        <f t="shared" si="4"/>
        <v>16744.785</v>
      </c>
    </row>
    <row r="32" spans="1:21" x14ac:dyDescent="0.2">
      <c r="A32" s="31" t="s">
        <v>68</v>
      </c>
      <c r="B32" s="45" t="s">
        <v>143</v>
      </c>
      <c r="C32" s="31">
        <v>32297.525000000001</v>
      </c>
      <c r="D32" s="31" t="s">
        <v>44</v>
      </c>
      <c r="E32">
        <f t="shared" si="0"/>
        <v>2410.9850103875606</v>
      </c>
      <c r="F32">
        <f t="shared" si="1"/>
        <v>2411</v>
      </c>
      <c r="G32">
        <f t="shared" si="2"/>
        <v>-1.9112999998469604E-2</v>
      </c>
      <c r="H32" s="12"/>
      <c r="I32" s="12">
        <f t="shared" si="5"/>
        <v>-1.9112999998469604E-2</v>
      </c>
      <c r="J32" s="6"/>
      <c r="O32">
        <f t="shared" ca="1" si="3"/>
        <v>4.5608975594670989E-3</v>
      </c>
      <c r="Q32" s="2">
        <f t="shared" si="4"/>
        <v>17279.025000000001</v>
      </c>
    </row>
    <row r="33" spans="1:21" x14ac:dyDescent="0.2">
      <c r="A33" s="31" t="s">
        <v>68</v>
      </c>
      <c r="B33" s="45" t="s">
        <v>143</v>
      </c>
      <c r="C33" s="31">
        <v>32320.469000000001</v>
      </c>
      <c r="D33" s="31" t="s">
        <v>44</v>
      </c>
      <c r="E33">
        <f t="shared" si="0"/>
        <v>2428.9791331230999</v>
      </c>
      <c r="F33">
        <f t="shared" si="1"/>
        <v>2429</v>
      </c>
      <c r="G33">
        <f t="shared" si="2"/>
        <v>-2.660699999978533E-2</v>
      </c>
      <c r="H33" s="12"/>
      <c r="I33" s="12">
        <f t="shared" si="5"/>
        <v>-2.660699999978533E-2</v>
      </c>
      <c r="J33" s="6"/>
      <c r="O33">
        <f t="shared" ca="1" si="3"/>
        <v>4.6718880482190875E-3</v>
      </c>
      <c r="Q33" s="2">
        <f t="shared" si="4"/>
        <v>17301.969000000001</v>
      </c>
    </row>
    <row r="34" spans="1:21" x14ac:dyDescent="0.2">
      <c r="A34" s="31" t="s">
        <v>68</v>
      </c>
      <c r="B34" s="45" t="s">
        <v>143</v>
      </c>
      <c r="C34" s="31">
        <v>33186.33</v>
      </c>
      <c r="D34" s="31" t="s">
        <v>44</v>
      </c>
      <c r="E34">
        <f t="shared" si="0"/>
        <v>3108.0415941550491</v>
      </c>
      <c r="F34">
        <f t="shared" si="1"/>
        <v>3108</v>
      </c>
      <c r="G34">
        <f t="shared" si="2"/>
        <v>5.3036000004794914E-2</v>
      </c>
      <c r="H34" s="12"/>
      <c r="I34" s="12">
        <f t="shared" si="5"/>
        <v>5.3036000004794914E-2</v>
      </c>
      <c r="J34" s="6"/>
      <c r="O34">
        <f t="shared" ca="1" si="3"/>
        <v>8.8586959294746151E-3</v>
      </c>
      <c r="Q34" s="2">
        <f t="shared" si="4"/>
        <v>18167.830000000002</v>
      </c>
    </row>
    <row r="35" spans="1:21" x14ac:dyDescent="0.2">
      <c r="A35" s="31" t="s">
        <v>68</v>
      </c>
      <c r="B35" s="45" t="s">
        <v>143</v>
      </c>
      <c r="C35" s="31">
        <v>33831.453000000001</v>
      </c>
      <c r="D35" s="31" t="s">
        <v>44</v>
      </c>
      <c r="E35">
        <f t="shared" si="0"/>
        <v>3613.9874815992384</v>
      </c>
      <c r="F35">
        <f t="shared" si="1"/>
        <v>3614</v>
      </c>
      <c r="G35">
        <f t="shared" si="2"/>
        <v>-1.5961999997671228E-2</v>
      </c>
      <c r="H35" s="12"/>
      <c r="I35" s="12">
        <f t="shared" si="5"/>
        <v>-1.5961999997671228E-2</v>
      </c>
      <c r="J35" s="6"/>
      <c r="O35">
        <f t="shared" ca="1" si="3"/>
        <v>1.1978761891058263E-2</v>
      </c>
      <c r="Q35" s="2">
        <f t="shared" si="4"/>
        <v>18812.953000000001</v>
      </c>
    </row>
    <row r="36" spans="1:21" x14ac:dyDescent="0.2">
      <c r="A36" s="31" t="s">
        <v>68</v>
      </c>
      <c r="B36" s="45" t="s">
        <v>143</v>
      </c>
      <c r="C36" s="31">
        <v>33891.404999999999</v>
      </c>
      <c r="D36" s="31" t="s">
        <v>44</v>
      </c>
      <c r="E36">
        <f t="shared" si="0"/>
        <v>3661.0055972826863</v>
      </c>
      <c r="F36">
        <f t="shared" si="1"/>
        <v>3661</v>
      </c>
      <c r="G36">
        <f t="shared" si="2"/>
        <v>7.1370000005117618E-3</v>
      </c>
      <c r="H36" s="12"/>
      <c r="I36" s="12">
        <f t="shared" si="5"/>
        <v>7.1370000005117618E-3</v>
      </c>
      <c r="J36" s="6"/>
      <c r="O36">
        <f t="shared" ca="1" si="3"/>
        <v>1.2268570389466233E-2</v>
      </c>
      <c r="Q36" s="2">
        <f t="shared" si="4"/>
        <v>18872.904999999999</v>
      </c>
    </row>
    <row r="37" spans="1:21" x14ac:dyDescent="0.2">
      <c r="A37" s="31" t="s">
        <v>68</v>
      </c>
      <c r="B37" s="45" t="s">
        <v>143</v>
      </c>
      <c r="C37" s="31">
        <v>33896.451999999997</v>
      </c>
      <c r="D37" s="31" t="s">
        <v>44</v>
      </c>
      <c r="E37">
        <f t="shared" si="0"/>
        <v>3664.9637709858871</v>
      </c>
      <c r="F37">
        <f t="shared" si="1"/>
        <v>3665</v>
      </c>
      <c r="G37">
        <f t="shared" si="2"/>
        <v>-4.619500000262633E-2</v>
      </c>
      <c r="H37" s="12"/>
      <c r="I37" s="12">
        <f t="shared" si="5"/>
        <v>-4.619500000262633E-2</v>
      </c>
      <c r="J37" s="6"/>
      <c r="O37">
        <f t="shared" ca="1" si="3"/>
        <v>1.2293234942522227E-2</v>
      </c>
      <c r="Q37" s="2">
        <f t="shared" si="4"/>
        <v>18877.951999999997</v>
      </c>
    </row>
    <row r="38" spans="1:21" x14ac:dyDescent="0.2">
      <c r="A38" t="s">
        <v>30</v>
      </c>
      <c r="C38" s="11">
        <v>50314.560700000002</v>
      </c>
      <c r="D38" s="11">
        <v>2.0000000000000001E-4</v>
      </c>
      <c r="E38">
        <f t="shared" si="0"/>
        <v>16541.073561485802</v>
      </c>
      <c r="F38">
        <f t="shared" si="1"/>
        <v>16541</v>
      </c>
      <c r="G38">
        <f t="shared" si="2"/>
        <v>9.3797000001359265E-2</v>
      </c>
      <c r="H38" s="12"/>
      <c r="J38" s="12">
        <f>G38</f>
        <v>9.3797000001359265E-2</v>
      </c>
      <c r="O38">
        <f t="shared" ca="1" si="3"/>
        <v>9.1688431229777281E-2</v>
      </c>
      <c r="Q38" s="2">
        <f t="shared" si="4"/>
        <v>35296.060700000002</v>
      </c>
    </row>
    <row r="39" spans="1:21" x14ac:dyDescent="0.2">
      <c r="A39" t="s">
        <v>30</v>
      </c>
      <c r="B39" s="46"/>
      <c r="C39" s="11">
        <v>50712.387600000002</v>
      </c>
      <c r="D39" s="11">
        <v>2.9999999999999997E-4</v>
      </c>
      <c r="E39">
        <f t="shared" si="0"/>
        <v>16853.074348885526</v>
      </c>
      <c r="F39">
        <f t="shared" si="1"/>
        <v>16853</v>
      </c>
      <c r="G39">
        <f t="shared" si="2"/>
        <v>9.4800999999279156E-2</v>
      </c>
      <c r="H39" s="12"/>
      <c r="J39" s="12">
        <f>G39</f>
        <v>9.4800999999279156E-2</v>
      </c>
      <c r="O39">
        <f t="shared" ca="1" si="3"/>
        <v>9.361226636814507E-2</v>
      </c>
      <c r="Q39" s="2">
        <f t="shared" si="4"/>
        <v>35693.887600000002</v>
      </c>
    </row>
    <row r="40" spans="1:21" x14ac:dyDescent="0.2">
      <c r="A40" s="31" t="s">
        <v>114</v>
      </c>
      <c r="B40" s="45" t="s">
        <v>143</v>
      </c>
      <c r="C40" s="31">
        <v>51806.438000000002</v>
      </c>
      <c r="D40" s="31" t="s">
        <v>44</v>
      </c>
      <c r="E40">
        <f t="shared" si="0"/>
        <v>17711.097238375856</v>
      </c>
      <c r="F40">
        <f t="shared" si="1"/>
        <v>17711</v>
      </c>
      <c r="H40" s="12"/>
      <c r="I40" s="12"/>
      <c r="J40" s="6"/>
      <c r="O40">
        <f t="shared" ca="1" si="3"/>
        <v>9.890281299865647E-2</v>
      </c>
      <c r="Q40" s="2">
        <f t="shared" si="4"/>
        <v>36787.938000000002</v>
      </c>
      <c r="U40">
        <f>+C40-(C$7+F40*C$8)</f>
        <v>0.12398700000630924</v>
      </c>
    </row>
    <row r="41" spans="1:21" x14ac:dyDescent="0.2">
      <c r="A41" t="s">
        <v>30</v>
      </c>
      <c r="B41" s="46"/>
      <c r="C41" s="11">
        <v>52112.434699999998</v>
      </c>
      <c r="D41" s="11">
        <v>8.9999999999999998E-4</v>
      </c>
      <c r="E41">
        <f t="shared" si="0"/>
        <v>17951.079027796623</v>
      </c>
      <c r="F41">
        <f t="shared" si="1"/>
        <v>17951</v>
      </c>
      <c r="G41">
        <f>+C41-(C$7+F41*C$8)</f>
        <v>0.10076699999626726</v>
      </c>
      <c r="H41" s="12"/>
      <c r="J41" s="12">
        <f>G41</f>
        <v>0.10076699999626726</v>
      </c>
      <c r="O41">
        <f t="shared" ca="1" si="3"/>
        <v>0.1003826861820163</v>
      </c>
      <c r="Q41" s="2">
        <f t="shared" si="4"/>
        <v>37093.934699999998</v>
      </c>
    </row>
    <row r="42" spans="1:21" x14ac:dyDescent="0.2">
      <c r="A42" s="17" t="s">
        <v>33</v>
      </c>
      <c r="B42" s="46"/>
      <c r="C42" s="11">
        <v>53655.292200000004</v>
      </c>
      <c r="D42" s="11">
        <v>2.2000000000000001E-3</v>
      </c>
      <c r="E42">
        <f t="shared" si="0"/>
        <v>19161.084572533713</v>
      </c>
      <c r="F42">
        <f t="shared" si="1"/>
        <v>19161</v>
      </c>
      <c r="G42">
        <f>+C42-(C$7+F42*C$8)</f>
        <v>0.10783700000320096</v>
      </c>
      <c r="H42" s="12"/>
      <c r="J42" s="12">
        <f>G42</f>
        <v>0.10783700000320096</v>
      </c>
      <c r="O42">
        <f t="shared" ca="1" si="3"/>
        <v>0.10784371348145547</v>
      </c>
      <c r="Q42" s="2">
        <f t="shared" si="4"/>
        <v>38636.792200000004</v>
      </c>
    </row>
    <row r="43" spans="1:21" x14ac:dyDescent="0.2">
      <c r="A43" s="17" t="s">
        <v>33</v>
      </c>
      <c r="B43" s="46"/>
      <c r="C43" s="11">
        <v>53660.388800000001</v>
      </c>
      <c r="D43" s="11">
        <v>1.4E-3</v>
      </c>
      <c r="E43">
        <f t="shared" si="0"/>
        <v>19165.081645665421</v>
      </c>
      <c r="F43">
        <f t="shared" si="1"/>
        <v>19165</v>
      </c>
      <c r="G43">
        <f>+C43-(C$7+F43*C$8)</f>
        <v>0.10410500000580214</v>
      </c>
      <c r="H43" s="12"/>
      <c r="J43" s="12">
        <f>G43</f>
        <v>0.10410500000580214</v>
      </c>
      <c r="O43">
        <f t="shared" ca="1" si="3"/>
        <v>0.10786837803451146</v>
      </c>
      <c r="Q43" s="2">
        <f t="shared" si="4"/>
        <v>38641.888800000001</v>
      </c>
    </row>
    <row r="44" spans="1:21" x14ac:dyDescent="0.2">
      <c r="A44" s="17" t="s">
        <v>33</v>
      </c>
      <c r="B44" s="46"/>
      <c r="C44" s="11">
        <v>53920.508099999999</v>
      </c>
      <c r="D44" s="11">
        <v>2.5000000000000001E-3</v>
      </c>
      <c r="E44">
        <f t="shared" si="0"/>
        <v>19369.083502799425</v>
      </c>
      <c r="F44">
        <f t="shared" si="1"/>
        <v>19369</v>
      </c>
      <c r="G44">
        <f>+C44-(C$7+F44*C$8)</f>
        <v>0.10647299999982351</v>
      </c>
      <c r="H44" s="12"/>
      <c r="J44" s="12">
        <f>G44</f>
        <v>0.10647299999982351</v>
      </c>
      <c r="O44">
        <f t="shared" ca="1" si="3"/>
        <v>0.10912627024036732</v>
      </c>
      <c r="Q44" s="2">
        <f t="shared" si="4"/>
        <v>38902.008099999999</v>
      </c>
    </row>
    <row r="45" spans="1:21" x14ac:dyDescent="0.2">
      <c r="A45" s="31" t="s">
        <v>137</v>
      </c>
      <c r="B45" s="45" t="s">
        <v>143</v>
      </c>
      <c r="C45" s="31">
        <v>54240.567999999999</v>
      </c>
      <c r="D45" s="31" t="s">
        <v>44</v>
      </c>
      <c r="E45">
        <f t="shared" si="0"/>
        <v>19620.094535022425</v>
      </c>
      <c r="F45">
        <f t="shared" si="1"/>
        <v>19620</v>
      </c>
      <c r="H45" s="12"/>
      <c r="I45" s="12"/>
      <c r="J45" s="6"/>
      <c r="O45">
        <f t="shared" ca="1" si="3"/>
        <v>0.11067397094463115</v>
      </c>
      <c r="Q45" s="2">
        <f t="shared" si="4"/>
        <v>39222.067999999999</v>
      </c>
      <c r="U45">
        <f>+C45-(C$7+F45*C$8)</f>
        <v>0.12054000000352971</v>
      </c>
    </row>
    <row r="46" spans="1:21" x14ac:dyDescent="0.2">
      <c r="A46" s="31" t="s">
        <v>142</v>
      </c>
      <c r="B46" s="45" t="s">
        <v>143</v>
      </c>
      <c r="C46" s="31">
        <v>54685.569100000001</v>
      </c>
      <c r="D46" s="31" t="s">
        <v>44</v>
      </c>
      <c r="E46">
        <f t="shared" si="0"/>
        <v>19969.092286541349</v>
      </c>
      <c r="F46">
        <f t="shared" si="1"/>
        <v>19969</v>
      </c>
      <c r="H46" s="12"/>
      <c r="J46" s="6"/>
      <c r="K46" s="12"/>
      <c r="O46">
        <f t="shared" ca="1" si="3"/>
        <v>0.1128259531987669</v>
      </c>
      <c r="Q46" s="2">
        <f t="shared" si="4"/>
        <v>39667.069100000001</v>
      </c>
      <c r="U46">
        <f>+C46-(C$7+F46*C$8)</f>
        <v>0.11767300000065006</v>
      </c>
    </row>
    <row r="47" spans="1:21" x14ac:dyDescent="0.2">
      <c r="A47" s="43" t="s">
        <v>0</v>
      </c>
      <c r="B47" s="47" t="s">
        <v>143</v>
      </c>
      <c r="C47" s="44">
        <v>57980.397400000002</v>
      </c>
      <c r="D47" s="44">
        <v>2.0000000000000001E-4</v>
      </c>
      <c r="E47">
        <f>+(C47-C$7)/C$8</f>
        <v>22553.10313132557</v>
      </c>
      <c r="F47">
        <f t="shared" si="1"/>
        <v>22553</v>
      </c>
      <c r="G47">
        <f>+C47-(C$7+F47*C$8)</f>
        <v>0.13150100000348175</v>
      </c>
      <c r="H47" s="12"/>
      <c r="K47" s="12">
        <f>G47</f>
        <v>0.13150100000348175</v>
      </c>
      <c r="O47">
        <f ca="1">+C$11+C$12*F47</f>
        <v>0.12875925447294112</v>
      </c>
      <c r="Q47" s="2">
        <f>+C47-15018.5</f>
        <v>42961.897400000002</v>
      </c>
    </row>
    <row r="48" spans="1:21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</sheetData>
  <phoneticPr fontId="7" type="noConversion"/>
  <hyperlinks>
    <hyperlink ref="H64639" r:id="rId1" display="http://vsolj.cetus-net.org/bulletin.html"/>
    <hyperlink ref="H64632" r:id="rId2" display="https://www.aavso.org/ejaavso"/>
    <hyperlink ref="AP783" r:id="rId3" display="http://cdsbib.u-strasbg.fr/cgi-bin/cdsbib?1990RMxAA..21..381G"/>
    <hyperlink ref="AP787" r:id="rId4" display="http://cdsbib.u-strasbg.fr/cgi-bin/cdsbib?1990RMxAA..21..381G"/>
    <hyperlink ref="AP786" r:id="rId5" display="http://cdsbib.u-strasbg.fr/cgi-bin/cdsbib?1990RMxAA..21..381G"/>
    <hyperlink ref="AP767" r:id="rId6" display="http://cdsbib.u-strasbg.fr/cgi-bin/cdsbib?1990RMxAA..21..381G"/>
    <hyperlink ref="I64639" r:id="rId7" display="http://vsolj.cetus-net.org/bulletin.html"/>
    <hyperlink ref="AQ923" r:id="rId8" display="http://cdsbib.u-strasbg.fr/cgi-bin/cdsbib?1990RMxAA..21..381G"/>
    <hyperlink ref="AQ55689" r:id="rId9" display="http://cdsbib.u-strasbg.fr/cgi-bin/cdsbib?1990RMxAA..21..381G"/>
    <hyperlink ref="AQ924" r:id="rId10" display="http://cdsbib.u-strasbg.fr/cgi-bin/cdsbib?1990RMxAA..21..381G"/>
    <hyperlink ref="H64636" r:id="rId11" display="https://www.aavso.org/ejaavso"/>
    <hyperlink ref="H1809" r:id="rId12" display="http://vsolj.cetus-net.org/bulletin.html"/>
    <hyperlink ref="AP3053" r:id="rId13" display="http://cdsbib.u-strasbg.fr/cgi-bin/cdsbib?1990RMxAA..21..381G"/>
    <hyperlink ref="AP3056" r:id="rId14" display="http://cdsbib.u-strasbg.fr/cgi-bin/cdsbib?1990RMxAA..21..381G"/>
    <hyperlink ref="AP3054" r:id="rId15" display="http://cdsbib.u-strasbg.fr/cgi-bin/cdsbib?1990RMxAA..21..381G"/>
    <hyperlink ref="AP3038" r:id="rId16" display="http://cdsbib.u-strasbg.fr/cgi-bin/cdsbib?1990RMxAA..21..381G"/>
    <hyperlink ref="I1809" r:id="rId17" display="http://vsolj.cetus-net.org/bulletin.html"/>
    <hyperlink ref="AQ3267" r:id="rId18" display="http://cdsbib.u-strasbg.fr/cgi-bin/cdsbib?1990RMxAA..21..381G"/>
    <hyperlink ref="AQ65504" r:id="rId19" display="http://cdsbib.u-strasbg.fr/cgi-bin/cdsbib?1990RMxAA..21..381G"/>
    <hyperlink ref="AQ327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1"/>
  <sheetViews>
    <sheetView workbookViewId="0">
      <selection activeCell="A17" sqref="A17:D35"/>
    </sheetView>
  </sheetViews>
  <sheetFormatPr defaultRowHeight="12.75" x14ac:dyDescent="0.2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8" t="s">
        <v>34</v>
      </c>
      <c r="I1" s="19" t="s">
        <v>35</v>
      </c>
      <c r="J1" s="20" t="s">
        <v>36</v>
      </c>
    </row>
    <row r="2" spans="1:16" x14ac:dyDescent="0.2">
      <c r="I2" s="21" t="s">
        <v>37</v>
      </c>
      <c r="J2" s="22" t="s">
        <v>38</v>
      </c>
    </row>
    <row r="3" spans="1:16" x14ac:dyDescent="0.2">
      <c r="A3" s="23" t="s">
        <v>39</v>
      </c>
      <c r="I3" s="21" t="s">
        <v>40</v>
      </c>
      <c r="J3" s="22" t="s">
        <v>41</v>
      </c>
    </row>
    <row r="4" spans="1:16" x14ac:dyDescent="0.2">
      <c r="I4" s="21" t="s">
        <v>42</v>
      </c>
      <c r="J4" s="22" t="s">
        <v>41</v>
      </c>
    </row>
    <row r="5" spans="1:16" ht="13.5" thickBot="1" x14ac:dyDescent="0.25">
      <c r="I5" s="24" t="s">
        <v>43</v>
      </c>
      <c r="J5" s="25" t="s">
        <v>44</v>
      </c>
    </row>
    <row r="10" spans="1:16" ht="13.5" thickBot="1" x14ac:dyDescent="0.25"/>
    <row r="11" spans="1:16" ht="12.75" customHeight="1" thickBot="1" x14ac:dyDescent="0.25">
      <c r="A11" s="11" t="str">
        <f t="shared" ref="A11:A35" si="0">P11</f>
        <v>BAVM 158 </v>
      </c>
      <c r="B11" s="6" t="str">
        <f t="shared" ref="B11:B35" si="1">IF(H11=INT(H11),"I","II")</f>
        <v>I</v>
      </c>
      <c r="C11" s="11">
        <f t="shared" ref="C11:C35" si="2">1*G11</f>
        <v>50314.560700000002</v>
      </c>
      <c r="D11" s="17" t="str">
        <f t="shared" ref="D11:D35" si="3">VLOOKUP(F11,I$1:J$5,2,FALSE)</f>
        <v>vis</v>
      </c>
      <c r="E11" s="26">
        <f>VLOOKUP(C11,Active!C$21:E$973,3,FALSE)</f>
        <v>16541.073561485802</v>
      </c>
      <c r="F11" s="6" t="s">
        <v>43</v>
      </c>
      <c r="G11" s="17" t="str">
        <f t="shared" ref="G11:G35" si="4">MID(I11,3,LEN(I11)-3)</f>
        <v>50314.5607</v>
      </c>
      <c r="H11" s="11">
        <f t="shared" ref="H11:H35" si="5">1*K11</f>
        <v>16541</v>
      </c>
      <c r="I11" s="27" t="s">
        <v>99</v>
      </c>
      <c r="J11" s="28" t="s">
        <v>100</v>
      </c>
      <c r="K11" s="27">
        <v>16541</v>
      </c>
      <c r="L11" s="27" t="s">
        <v>101</v>
      </c>
      <c r="M11" s="28" t="s">
        <v>102</v>
      </c>
      <c r="N11" s="28" t="s">
        <v>103</v>
      </c>
      <c r="O11" s="29" t="s">
        <v>104</v>
      </c>
      <c r="P11" s="30" t="s">
        <v>105</v>
      </c>
    </row>
    <row r="12" spans="1:16" ht="12.75" customHeight="1" thickBot="1" x14ac:dyDescent="0.25">
      <c r="A12" s="11" t="str">
        <f t="shared" si="0"/>
        <v>BAVM 158 </v>
      </c>
      <c r="B12" s="6" t="str">
        <f t="shared" si="1"/>
        <v>I</v>
      </c>
      <c r="C12" s="11">
        <f t="shared" si="2"/>
        <v>50712.387600000002</v>
      </c>
      <c r="D12" s="17" t="str">
        <f t="shared" si="3"/>
        <v>vis</v>
      </c>
      <c r="E12" s="26">
        <f>VLOOKUP(C12,Active!C$21:E$973,3,FALSE)</f>
        <v>16853.074348885526</v>
      </c>
      <c r="F12" s="6" t="s">
        <v>43</v>
      </c>
      <c r="G12" s="17" t="str">
        <f t="shared" si="4"/>
        <v>50712.3876</v>
      </c>
      <c r="H12" s="11">
        <f t="shared" si="5"/>
        <v>16853</v>
      </c>
      <c r="I12" s="27" t="s">
        <v>106</v>
      </c>
      <c r="J12" s="28" t="s">
        <v>107</v>
      </c>
      <c r="K12" s="27">
        <v>16853</v>
      </c>
      <c r="L12" s="27" t="s">
        <v>108</v>
      </c>
      <c r="M12" s="28" t="s">
        <v>102</v>
      </c>
      <c r="N12" s="28" t="s">
        <v>103</v>
      </c>
      <c r="O12" s="29" t="s">
        <v>104</v>
      </c>
      <c r="P12" s="30" t="s">
        <v>105</v>
      </c>
    </row>
    <row r="13" spans="1:16" ht="12.75" customHeight="1" thickBot="1" x14ac:dyDescent="0.25">
      <c r="A13" s="11" t="str">
        <f t="shared" si="0"/>
        <v>BAVM 158 </v>
      </c>
      <c r="B13" s="6" t="str">
        <f t="shared" si="1"/>
        <v>I</v>
      </c>
      <c r="C13" s="11">
        <f t="shared" si="2"/>
        <v>52112.434699999998</v>
      </c>
      <c r="D13" s="17" t="str">
        <f t="shared" si="3"/>
        <v>vis</v>
      </c>
      <c r="E13" s="26">
        <f>VLOOKUP(C13,Active!C$21:E$973,3,FALSE)</f>
        <v>17951.079027796623</v>
      </c>
      <c r="F13" s="6" t="s">
        <v>43</v>
      </c>
      <c r="G13" s="17" t="str">
        <f t="shared" si="4"/>
        <v>52112.4347</v>
      </c>
      <c r="H13" s="11">
        <f t="shared" si="5"/>
        <v>17951</v>
      </c>
      <c r="I13" s="27" t="s">
        <v>115</v>
      </c>
      <c r="J13" s="28" t="s">
        <v>116</v>
      </c>
      <c r="K13" s="27">
        <v>17951</v>
      </c>
      <c r="L13" s="27" t="s">
        <v>117</v>
      </c>
      <c r="M13" s="28" t="s">
        <v>102</v>
      </c>
      <c r="N13" s="28" t="s">
        <v>103</v>
      </c>
      <c r="O13" s="29" t="s">
        <v>104</v>
      </c>
      <c r="P13" s="30" t="s">
        <v>105</v>
      </c>
    </row>
    <row r="14" spans="1:16" ht="12.75" customHeight="1" thickBot="1" x14ac:dyDescent="0.25">
      <c r="A14" s="11" t="str">
        <f t="shared" si="0"/>
        <v>BAVM 178 </v>
      </c>
      <c r="B14" s="6" t="str">
        <f t="shared" si="1"/>
        <v>I</v>
      </c>
      <c r="C14" s="11">
        <f t="shared" si="2"/>
        <v>53655.292200000004</v>
      </c>
      <c r="D14" s="17" t="str">
        <f t="shared" si="3"/>
        <v>vis</v>
      </c>
      <c r="E14" s="26">
        <f>VLOOKUP(C14,Active!C$21:E$973,3,FALSE)</f>
        <v>19161.084572533713</v>
      </c>
      <c r="F14" s="6" t="s">
        <v>43</v>
      </c>
      <c r="G14" s="17" t="str">
        <f t="shared" si="4"/>
        <v>53655.2922</v>
      </c>
      <c r="H14" s="11">
        <f t="shared" si="5"/>
        <v>19161</v>
      </c>
      <c r="I14" s="27" t="s">
        <v>118</v>
      </c>
      <c r="J14" s="28" t="s">
        <v>119</v>
      </c>
      <c r="K14" s="27">
        <v>19161</v>
      </c>
      <c r="L14" s="27" t="s">
        <v>120</v>
      </c>
      <c r="M14" s="28" t="s">
        <v>121</v>
      </c>
      <c r="N14" s="28" t="s">
        <v>122</v>
      </c>
      <c r="O14" s="29" t="s">
        <v>104</v>
      </c>
      <c r="P14" s="30" t="s">
        <v>123</v>
      </c>
    </row>
    <row r="15" spans="1:16" ht="12.75" customHeight="1" thickBot="1" x14ac:dyDescent="0.25">
      <c r="A15" s="11" t="str">
        <f t="shared" si="0"/>
        <v>BAVM 178 </v>
      </c>
      <c r="B15" s="6" t="str">
        <f t="shared" si="1"/>
        <v>I</v>
      </c>
      <c r="C15" s="11">
        <f t="shared" si="2"/>
        <v>53660.388800000001</v>
      </c>
      <c r="D15" s="17" t="str">
        <f t="shared" si="3"/>
        <v>vis</v>
      </c>
      <c r="E15" s="26">
        <f>VLOOKUP(C15,Active!C$21:E$973,3,FALSE)</f>
        <v>19165.081645665421</v>
      </c>
      <c r="F15" s="6" t="s">
        <v>43</v>
      </c>
      <c r="G15" s="17" t="str">
        <f t="shared" si="4"/>
        <v>53660.3888</v>
      </c>
      <c r="H15" s="11">
        <f t="shared" si="5"/>
        <v>19165</v>
      </c>
      <c r="I15" s="27" t="s">
        <v>124</v>
      </c>
      <c r="J15" s="28" t="s">
        <v>125</v>
      </c>
      <c r="K15" s="27" t="s">
        <v>126</v>
      </c>
      <c r="L15" s="27" t="s">
        <v>127</v>
      </c>
      <c r="M15" s="28" t="s">
        <v>121</v>
      </c>
      <c r="N15" s="28" t="s">
        <v>122</v>
      </c>
      <c r="O15" s="29" t="s">
        <v>104</v>
      </c>
      <c r="P15" s="30" t="s">
        <v>123</v>
      </c>
    </row>
    <row r="16" spans="1:16" ht="12.75" customHeight="1" thickBot="1" x14ac:dyDescent="0.25">
      <c r="A16" s="11" t="str">
        <f t="shared" si="0"/>
        <v>BAVM 178 </v>
      </c>
      <c r="B16" s="6" t="str">
        <f t="shared" si="1"/>
        <v>I</v>
      </c>
      <c r="C16" s="11">
        <f t="shared" si="2"/>
        <v>53920.508099999999</v>
      </c>
      <c r="D16" s="17" t="str">
        <f t="shared" si="3"/>
        <v>vis</v>
      </c>
      <c r="E16" s="26">
        <f>VLOOKUP(C16,Active!C$21:E$973,3,FALSE)</f>
        <v>19369.083502799425</v>
      </c>
      <c r="F16" s="6" t="s">
        <v>43</v>
      </c>
      <c r="G16" s="17" t="str">
        <f t="shared" si="4"/>
        <v>53920.5081</v>
      </c>
      <c r="H16" s="11">
        <f t="shared" si="5"/>
        <v>19369</v>
      </c>
      <c r="I16" s="27" t="s">
        <v>128</v>
      </c>
      <c r="J16" s="28" t="s">
        <v>129</v>
      </c>
      <c r="K16" s="27" t="s">
        <v>130</v>
      </c>
      <c r="L16" s="27" t="s">
        <v>131</v>
      </c>
      <c r="M16" s="28" t="s">
        <v>121</v>
      </c>
      <c r="N16" s="28" t="s">
        <v>122</v>
      </c>
      <c r="O16" s="29" t="s">
        <v>104</v>
      </c>
      <c r="P16" s="30" t="s">
        <v>123</v>
      </c>
    </row>
    <row r="17" spans="1:16" ht="12.75" customHeight="1" thickBot="1" x14ac:dyDescent="0.25">
      <c r="A17" s="11" t="str">
        <f t="shared" si="0"/>
        <v> AAAN 11.5.33 </v>
      </c>
      <c r="B17" s="6" t="str">
        <f t="shared" si="1"/>
        <v>I</v>
      </c>
      <c r="C17" s="11">
        <f t="shared" si="2"/>
        <v>28054.053</v>
      </c>
      <c r="D17" s="17" t="str">
        <f t="shared" si="3"/>
        <v>vis</v>
      </c>
      <c r="E17" s="26">
        <f>VLOOKUP(C17,Active!C$21:E$973,3,FALSE)</f>
        <v>-917.01167688691612</v>
      </c>
      <c r="F17" s="6" t="s">
        <v>43</v>
      </c>
      <c r="G17" s="17" t="str">
        <f t="shared" si="4"/>
        <v>28054.053</v>
      </c>
      <c r="H17" s="11">
        <f t="shared" si="5"/>
        <v>-917</v>
      </c>
      <c r="I17" s="27" t="s">
        <v>46</v>
      </c>
      <c r="J17" s="28" t="s">
        <v>47</v>
      </c>
      <c r="K17" s="27">
        <v>-917</v>
      </c>
      <c r="L17" s="27" t="s">
        <v>48</v>
      </c>
      <c r="M17" s="28" t="s">
        <v>45</v>
      </c>
      <c r="N17" s="28"/>
      <c r="O17" s="29" t="s">
        <v>49</v>
      </c>
      <c r="P17" s="29" t="s">
        <v>50</v>
      </c>
    </row>
    <row r="18" spans="1:16" ht="12.75" customHeight="1" thickBot="1" x14ac:dyDescent="0.25">
      <c r="A18" s="11" t="str">
        <f t="shared" si="0"/>
        <v> AAAN 11.5.33 </v>
      </c>
      <c r="B18" s="6" t="str">
        <f t="shared" si="1"/>
        <v>I</v>
      </c>
      <c r="C18" s="11">
        <f t="shared" si="2"/>
        <v>28377.932000000001</v>
      </c>
      <c r="D18" s="17" t="str">
        <f t="shared" si="3"/>
        <v>vis</v>
      </c>
      <c r="E18" s="26">
        <f>VLOOKUP(C18,Active!C$21:E$973,3,FALSE)</f>
        <v>-663.00546709508228</v>
      </c>
      <c r="F18" s="6" t="s">
        <v>43</v>
      </c>
      <c r="G18" s="17" t="str">
        <f t="shared" si="4"/>
        <v>28377.932</v>
      </c>
      <c r="H18" s="11">
        <f t="shared" si="5"/>
        <v>-663</v>
      </c>
      <c r="I18" s="27" t="s">
        <v>51</v>
      </c>
      <c r="J18" s="28" t="s">
        <v>52</v>
      </c>
      <c r="K18" s="27">
        <v>-663</v>
      </c>
      <c r="L18" s="27" t="s">
        <v>53</v>
      </c>
      <c r="M18" s="28" t="s">
        <v>45</v>
      </c>
      <c r="N18" s="28"/>
      <c r="O18" s="29" t="s">
        <v>49</v>
      </c>
      <c r="P18" s="29" t="s">
        <v>50</v>
      </c>
    </row>
    <row r="19" spans="1:16" ht="12.75" customHeight="1" thickBot="1" x14ac:dyDescent="0.25">
      <c r="A19" s="11" t="str">
        <f t="shared" si="0"/>
        <v> AAAN 11.5.33 </v>
      </c>
      <c r="B19" s="6" t="str">
        <f t="shared" si="1"/>
        <v>I</v>
      </c>
      <c r="C19" s="11">
        <f t="shared" si="2"/>
        <v>28825.48</v>
      </c>
      <c r="D19" s="17" t="str">
        <f t="shared" si="3"/>
        <v>vis</v>
      </c>
      <c r="E19" s="26">
        <f>VLOOKUP(C19,Active!C$21:E$973,3,FALSE)</f>
        <v>-312.01027697804767</v>
      </c>
      <c r="F19" s="6" t="s">
        <v>43</v>
      </c>
      <c r="G19" s="17" t="str">
        <f t="shared" si="4"/>
        <v>28825.480</v>
      </c>
      <c r="H19" s="11">
        <f t="shared" si="5"/>
        <v>-312</v>
      </c>
      <c r="I19" s="27" t="s">
        <v>54</v>
      </c>
      <c r="J19" s="28" t="s">
        <v>55</v>
      </c>
      <c r="K19" s="27">
        <v>-312</v>
      </c>
      <c r="L19" s="27" t="s">
        <v>56</v>
      </c>
      <c r="M19" s="28" t="s">
        <v>45</v>
      </c>
      <c r="N19" s="28"/>
      <c r="O19" s="29" t="s">
        <v>49</v>
      </c>
      <c r="P19" s="29" t="s">
        <v>50</v>
      </c>
    </row>
    <row r="20" spans="1:16" ht="12.75" customHeight="1" thickBot="1" x14ac:dyDescent="0.25">
      <c r="A20" s="11" t="str">
        <f t="shared" si="0"/>
        <v> AAAN 11.5.33 </v>
      </c>
      <c r="B20" s="6" t="str">
        <f t="shared" si="1"/>
        <v>I</v>
      </c>
      <c r="C20" s="11">
        <f t="shared" si="2"/>
        <v>29192.707999999999</v>
      </c>
      <c r="D20" s="17" t="str">
        <f t="shared" si="3"/>
        <v>vis</v>
      </c>
      <c r="E20" s="26">
        <f>VLOOKUP(C20,Active!C$21:E$973,3,FALSE)</f>
        <v>-24.007064638145742</v>
      </c>
      <c r="F20" s="6" t="s">
        <v>43</v>
      </c>
      <c r="G20" s="17" t="str">
        <f t="shared" si="4"/>
        <v>29192.708</v>
      </c>
      <c r="H20" s="11">
        <f t="shared" si="5"/>
        <v>-24</v>
      </c>
      <c r="I20" s="27" t="s">
        <v>57</v>
      </c>
      <c r="J20" s="28" t="s">
        <v>58</v>
      </c>
      <c r="K20" s="27">
        <v>-24</v>
      </c>
      <c r="L20" s="27" t="s">
        <v>59</v>
      </c>
      <c r="M20" s="28" t="s">
        <v>45</v>
      </c>
      <c r="N20" s="28"/>
      <c r="O20" s="29" t="s">
        <v>49</v>
      </c>
      <c r="P20" s="29" t="s">
        <v>50</v>
      </c>
    </row>
    <row r="21" spans="1:16" ht="12.75" customHeight="1" thickBot="1" x14ac:dyDescent="0.25">
      <c r="A21" s="11" t="str">
        <f t="shared" si="0"/>
        <v> AAAN 11.5.33 </v>
      </c>
      <c r="B21" s="6" t="str">
        <f t="shared" si="1"/>
        <v>I</v>
      </c>
      <c r="C21" s="11">
        <f t="shared" si="2"/>
        <v>29355.921999999999</v>
      </c>
      <c r="D21" s="17" t="str">
        <f t="shared" si="3"/>
        <v>vis</v>
      </c>
      <c r="E21" s="26">
        <f>VLOOKUP(C21,Active!C$21:E$973,3,FALSE)</f>
        <v>103.99558303263329</v>
      </c>
      <c r="F21" s="6" t="s">
        <v>43</v>
      </c>
      <c r="G21" s="17" t="str">
        <f t="shared" si="4"/>
        <v>29355.922</v>
      </c>
      <c r="H21" s="11">
        <f t="shared" si="5"/>
        <v>104</v>
      </c>
      <c r="I21" s="27" t="s">
        <v>60</v>
      </c>
      <c r="J21" s="28" t="s">
        <v>61</v>
      </c>
      <c r="K21" s="27">
        <v>104</v>
      </c>
      <c r="L21" s="27" t="s">
        <v>62</v>
      </c>
      <c r="M21" s="28" t="s">
        <v>45</v>
      </c>
      <c r="N21" s="28"/>
      <c r="O21" s="29" t="s">
        <v>49</v>
      </c>
      <c r="P21" s="29" t="s">
        <v>50</v>
      </c>
    </row>
    <row r="22" spans="1:16" ht="12.75" customHeight="1" thickBot="1" x14ac:dyDescent="0.25">
      <c r="A22" s="11" t="str">
        <f t="shared" si="0"/>
        <v> VSS 2.142 </v>
      </c>
      <c r="B22" s="6" t="str">
        <f t="shared" si="1"/>
        <v>I</v>
      </c>
      <c r="C22" s="11">
        <f t="shared" si="2"/>
        <v>30169.464</v>
      </c>
      <c r="D22" s="17" t="str">
        <f t="shared" si="3"/>
        <v>vis</v>
      </c>
      <c r="E22" s="26">
        <f>VLOOKUP(C22,Active!C$21:E$973,3,FALSE)</f>
        <v>742.0262053529068</v>
      </c>
      <c r="F22" s="6" t="s">
        <v>43</v>
      </c>
      <c r="G22" s="17" t="str">
        <f t="shared" si="4"/>
        <v>30169.464</v>
      </c>
      <c r="H22" s="11">
        <f t="shared" si="5"/>
        <v>742</v>
      </c>
      <c r="I22" s="27" t="s">
        <v>63</v>
      </c>
      <c r="J22" s="28" t="s">
        <v>64</v>
      </c>
      <c r="K22" s="27">
        <v>742</v>
      </c>
      <c r="L22" s="27" t="s">
        <v>65</v>
      </c>
      <c r="M22" s="28" t="s">
        <v>66</v>
      </c>
      <c r="N22" s="28"/>
      <c r="O22" s="29" t="s">
        <v>67</v>
      </c>
      <c r="P22" s="29" t="s">
        <v>68</v>
      </c>
    </row>
    <row r="23" spans="1:16" ht="12.75" customHeight="1" thickBot="1" x14ac:dyDescent="0.25">
      <c r="A23" s="11" t="str">
        <f t="shared" si="0"/>
        <v> VSS 2.142 </v>
      </c>
      <c r="B23" s="6" t="str">
        <f t="shared" si="1"/>
        <v>I</v>
      </c>
      <c r="C23" s="11">
        <f t="shared" si="2"/>
        <v>30828.597000000002</v>
      </c>
      <c r="D23" s="17" t="str">
        <f t="shared" si="3"/>
        <v>vis</v>
      </c>
      <c r="E23" s="26">
        <f>VLOOKUP(C23,Active!C$21:E$973,3,FALSE)</f>
        <v>1258.959612825206</v>
      </c>
      <c r="F23" s="6" t="s">
        <v>43</v>
      </c>
      <c r="G23" s="17" t="str">
        <f t="shared" si="4"/>
        <v>30828.597</v>
      </c>
      <c r="H23" s="11">
        <f t="shared" si="5"/>
        <v>1259</v>
      </c>
      <c r="I23" s="27" t="s">
        <v>69</v>
      </c>
      <c r="J23" s="28" t="s">
        <v>70</v>
      </c>
      <c r="K23" s="27">
        <v>1259</v>
      </c>
      <c r="L23" s="27" t="s">
        <v>71</v>
      </c>
      <c r="M23" s="28" t="s">
        <v>66</v>
      </c>
      <c r="N23" s="28"/>
      <c r="O23" s="29" t="s">
        <v>67</v>
      </c>
      <c r="P23" s="29" t="s">
        <v>68</v>
      </c>
    </row>
    <row r="24" spans="1:16" ht="12.75" customHeight="1" thickBot="1" x14ac:dyDescent="0.25">
      <c r="A24" s="11" t="str">
        <f t="shared" si="0"/>
        <v> VSS 2.142 </v>
      </c>
      <c r="B24" s="6" t="str">
        <f t="shared" si="1"/>
        <v>I</v>
      </c>
      <c r="C24" s="11">
        <f t="shared" si="2"/>
        <v>31671.453000000001</v>
      </c>
      <c r="D24" s="17" t="str">
        <f t="shared" si="3"/>
        <v>vis</v>
      </c>
      <c r="E24" s="26">
        <f>VLOOKUP(C24,Active!C$21:E$973,3,FALSE)</f>
        <v>1919.9801110986516</v>
      </c>
      <c r="F24" s="6" t="s">
        <v>43</v>
      </c>
      <c r="G24" s="17" t="str">
        <f t="shared" si="4"/>
        <v>31671.453</v>
      </c>
      <c r="H24" s="11">
        <f t="shared" si="5"/>
        <v>1920</v>
      </c>
      <c r="I24" s="27" t="s">
        <v>72</v>
      </c>
      <c r="J24" s="28" t="s">
        <v>73</v>
      </c>
      <c r="K24" s="27">
        <v>1920</v>
      </c>
      <c r="L24" s="27" t="s">
        <v>74</v>
      </c>
      <c r="M24" s="28" t="s">
        <v>66</v>
      </c>
      <c r="N24" s="28"/>
      <c r="O24" s="29" t="s">
        <v>67</v>
      </c>
      <c r="P24" s="29" t="s">
        <v>68</v>
      </c>
    </row>
    <row r="25" spans="1:16" ht="12.75" customHeight="1" thickBot="1" x14ac:dyDescent="0.25">
      <c r="A25" s="11" t="str">
        <f t="shared" si="0"/>
        <v> VSS 2.142 </v>
      </c>
      <c r="B25" s="6" t="str">
        <f t="shared" si="1"/>
        <v>I</v>
      </c>
      <c r="C25" s="11">
        <f t="shared" si="2"/>
        <v>31703.364000000001</v>
      </c>
      <c r="D25" s="17" t="str">
        <f t="shared" si="3"/>
        <v>vis</v>
      </c>
      <c r="E25" s="26">
        <f>VLOOKUP(C25,Active!C$21:E$973,3,FALSE)</f>
        <v>1945.0067172097831</v>
      </c>
      <c r="F25" s="6" t="s">
        <v>43</v>
      </c>
      <c r="G25" s="17" t="str">
        <f t="shared" si="4"/>
        <v>31703.364</v>
      </c>
      <c r="H25" s="11">
        <f t="shared" si="5"/>
        <v>1945</v>
      </c>
      <c r="I25" s="27" t="s">
        <v>75</v>
      </c>
      <c r="J25" s="28" t="s">
        <v>76</v>
      </c>
      <c r="K25" s="27">
        <v>1945</v>
      </c>
      <c r="L25" s="27" t="s">
        <v>77</v>
      </c>
      <c r="M25" s="28" t="s">
        <v>66</v>
      </c>
      <c r="N25" s="28"/>
      <c r="O25" s="29" t="s">
        <v>67</v>
      </c>
      <c r="P25" s="29" t="s">
        <v>68</v>
      </c>
    </row>
    <row r="26" spans="1:16" ht="12.75" customHeight="1" thickBot="1" x14ac:dyDescent="0.25">
      <c r="A26" s="11" t="str">
        <f t="shared" si="0"/>
        <v> VSS 2.142 </v>
      </c>
      <c r="B26" s="6" t="str">
        <f t="shared" si="1"/>
        <v>I</v>
      </c>
      <c r="C26" s="11">
        <f t="shared" si="2"/>
        <v>31763.285</v>
      </c>
      <c r="D26" s="17" t="str">
        <f t="shared" si="3"/>
        <v>vis</v>
      </c>
      <c r="E26" s="26">
        <f>VLOOKUP(C26,Active!C$21:E$973,3,FALSE)</f>
        <v>1992.0005207504141</v>
      </c>
      <c r="F26" s="6" t="s">
        <v>43</v>
      </c>
      <c r="G26" s="17" t="str">
        <f t="shared" si="4"/>
        <v>31763.285</v>
      </c>
      <c r="H26" s="11">
        <f t="shared" si="5"/>
        <v>1992</v>
      </c>
      <c r="I26" s="27" t="s">
        <v>78</v>
      </c>
      <c r="J26" s="28" t="s">
        <v>79</v>
      </c>
      <c r="K26" s="27">
        <v>1992</v>
      </c>
      <c r="L26" s="27" t="s">
        <v>80</v>
      </c>
      <c r="M26" s="28" t="s">
        <v>66</v>
      </c>
      <c r="N26" s="28"/>
      <c r="O26" s="29" t="s">
        <v>67</v>
      </c>
      <c r="P26" s="29" t="s">
        <v>68</v>
      </c>
    </row>
    <row r="27" spans="1:16" ht="12.75" customHeight="1" thickBot="1" x14ac:dyDescent="0.25">
      <c r="A27" s="11" t="str">
        <f t="shared" si="0"/>
        <v> VSS 2.142 </v>
      </c>
      <c r="B27" s="6" t="str">
        <f t="shared" si="1"/>
        <v>I</v>
      </c>
      <c r="C27" s="11">
        <f t="shared" si="2"/>
        <v>32297.525000000001</v>
      </c>
      <c r="D27" s="17" t="str">
        <f t="shared" si="3"/>
        <v>vis</v>
      </c>
      <c r="E27" s="26">
        <f>VLOOKUP(C27,Active!C$21:E$973,3,FALSE)</f>
        <v>2410.9850103875606</v>
      </c>
      <c r="F27" s="6" t="s">
        <v>43</v>
      </c>
      <c r="G27" s="17" t="str">
        <f t="shared" si="4"/>
        <v>32297.525</v>
      </c>
      <c r="H27" s="11">
        <f t="shared" si="5"/>
        <v>2411</v>
      </c>
      <c r="I27" s="27" t="s">
        <v>81</v>
      </c>
      <c r="J27" s="28" t="s">
        <v>82</v>
      </c>
      <c r="K27" s="27">
        <v>2411</v>
      </c>
      <c r="L27" s="27" t="s">
        <v>83</v>
      </c>
      <c r="M27" s="28" t="s">
        <v>66</v>
      </c>
      <c r="N27" s="28"/>
      <c r="O27" s="29" t="s">
        <v>67</v>
      </c>
      <c r="P27" s="29" t="s">
        <v>68</v>
      </c>
    </row>
    <row r="28" spans="1:16" ht="12.75" customHeight="1" thickBot="1" x14ac:dyDescent="0.25">
      <c r="A28" s="11" t="str">
        <f t="shared" si="0"/>
        <v> VSS 2.142 </v>
      </c>
      <c r="B28" s="6" t="str">
        <f t="shared" si="1"/>
        <v>I</v>
      </c>
      <c r="C28" s="11">
        <f t="shared" si="2"/>
        <v>32320.469000000001</v>
      </c>
      <c r="D28" s="17" t="str">
        <f t="shared" si="3"/>
        <v>vis</v>
      </c>
      <c r="E28" s="26">
        <f>VLOOKUP(C28,Active!C$21:E$973,3,FALSE)</f>
        <v>2428.9791331230999</v>
      </c>
      <c r="F28" s="6" t="s">
        <v>43</v>
      </c>
      <c r="G28" s="17" t="str">
        <f t="shared" si="4"/>
        <v>32320.469</v>
      </c>
      <c r="H28" s="11">
        <f t="shared" si="5"/>
        <v>2429</v>
      </c>
      <c r="I28" s="27" t="s">
        <v>84</v>
      </c>
      <c r="J28" s="28" t="s">
        <v>85</v>
      </c>
      <c r="K28" s="27">
        <v>2429</v>
      </c>
      <c r="L28" s="27" t="s">
        <v>86</v>
      </c>
      <c r="M28" s="28" t="s">
        <v>66</v>
      </c>
      <c r="N28" s="28"/>
      <c r="O28" s="29" t="s">
        <v>67</v>
      </c>
      <c r="P28" s="29" t="s">
        <v>68</v>
      </c>
    </row>
    <row r="29" spans="1:16" ht="12.75" customHeight="1" thickBot="1" x14ac:dyDescent="0.25">
      <c r="A29" s="11" t="str">
        <f t="shared" si="0"/>
        <v> VSS 2.142 </v>
      </c>
      <c r="B29" s="6" t="str">
        <f t="shared" si="1"/>
        <v>I</v>
      </c>
      <c r="C29" s="11">
        <f t="shared" si="2"/>
        <v>33186.33</v>
      </c>
      <c r="D29" s="17" t="str">
        <f t="shared" si="3"/>
        <v>vis</v>
      </c>
      <c r="E29" s="26">
        <f>VLOOKUP(C29,Active!C$21:E$973,3,FALSE)</f>
        <v>3108.0415941550491</v>
      </c>
      <c r="F29" s="6" t="s">
        <v>43</v>
      </c>
      <c r="G29" s="17" t="str">
        <f t="shared" si="4"/>
        <v>33186.330</v>
      </c>
      <c r="H29" s="11">
        <f t="shared" si="5"/>
        <v>3108</v>
      </c>
      <c r="I29" s="27" t="s">
        <v>87</v>
      </c>
      <c r="J29" s="28" t="s">
        <v>88</v>
      </c>
      <c r="K29" s="27">
        <v>3108</v>
      </c>
      <c r="L29" s="27" t="s">
        <v>89</v>
      </c>
      <c r="M29" s="28" t="s">
        <v>66</v>
      </c>
      <c r="N29" s="28"/>
      <c r="O29" s="29" t="s">
        <v>67</v>
      </c>
      <c r="P29" s="29" t="s">
        <v>68</v>
      </c>
    </row>
    <row r="30" spans="1:16" ht="12.75" customHeight="1" thickBot="1" x14ac:dyDescent="0.25">
      <c r="A30" s="11" t="str">
        <f t="shared" si="0"/>
        <v> VSS 2.142 </v>
      </c>
      <c r="B30" s="6" t="str">
        <f t="shared" si="1"/>
        <v>I</v>
      </c>
      <c r="C30" s="11">
        <f t="shared" si="2"/>
        <v>33831.453000000001</v>
      </c>
      <c r="D30" s="17" t="str">
        <f t="shared" si="3"/>
        <v>vis</v>
      </c>
      <c r="E30" s="26">
        <f>VLOOKUP(C30,Active!C$21:E$973,3,FALSE)</f>
        <v>3613.9874815992384</v>
      </c>
      <c r="F30" s="6" t="s">
        <v>43</v>
      </c>
      <c r="G30" s="17" t="str">
        <f t="shared" si="4"/>
        <v>33831.453</v>
      </c>
      <c r="H30" s="11">
        <f t="shared" si="5"/>
        <v>3614</v>
      </c>
      <c r="I30" s="27" t="s">
        <v>90</v>
      </c>
      <c r="J30" s="28" t="s">
        <v>91</v>
      </c>
      <c r="K30" s="27">
        <v>3614</v>
      </c>
      <c r="L30" s="27" t="s">
        <v>92</v>
      </c>
      <c r="M30" s="28" t="s">
        <v>66</v>
      </c>
      <c r="N30" s="28"/>
      <c r="O30" s="29" t="s">
        <v>67</v>
      </c>
      <c r="P30" s="29" t="s">
        <v>68</v>
      </c>
    </row>
    <row r="31" spans="1:16" ht="12.75" customHeight="1" thickBot="1" x14ac:dyDescent="0.25">
      <c r="A31" s="11" t="str">
        <f t="shared" si="0"/>
        <v> VSS 2.142 </v>
      </c>
      <c r="B31" s="6" t="str">
        <f t="shared" si="1"/>
        <v>I</v>
      </c>
      <c r="C31" s="11">
        <f t="shared" si="2"/>
        <v>33891.404999999999</v>
      </c>
      <c r="D31" s="17" t="str">
        <f t="shared" si="3"/>
        <v>vis</v>
      </c>
      <c r="E31" s="26">
        <f>VLOOKUP(C31,Active!C$21:E$973,3,FALSE)</f>
        <v>3661.0055972826863</v>
      </c>
      <c r="F31" s="6" t="s">
        <v>43</v>
      </c>
      <c r="G31" s="17" t="str">
        <f t="shared" si="4"/>
        <v>33891.405</v>
      </c>
      <c r="H31" s="11">
        <f t="shared" si="5"/>
        <v>3661</v>
      </c>
      <c r="I31" s="27" t="s">
        <v>93</v>
      </c>
      <c r="J31" s="28" t="s">
        <v>94</v>
      </c>
      <c r="K31" s="27">
        <v>3661</v>
      </c>
      <c r="L31" s="27" t="s">
        <v>95</v>
      </c>
      <c r="M31" s="28" t="s">
        <v>66</v>
      </c>
      <c r="N31" s="28"/>
      <c r="O31" s="29" t="s">
        <v>67</v>
      </c>
      <c r="P31" s="29" t="s">
        <v>68</v>
      </c>
    </row>
    <row r="32" spans="1:16" ht="12.75" customHeight="1" thickBot="1" x14ac:dyDescent="0.25">
      <c r="A32" s="11" t="str">
        <f t="shared" si="0"/>
        <v> VSS 2.142 </v>
      </c>
      <c r="B32" s="6" t="str">
        <f t="shared" si="1"/>
        <v>I</v>
      </c>
      <c r="C32" s="11">
        <f t="shared" si="2"/>
        <v>33896.451999999997</v>
      </c>
      <c r="D32" s="17" t="str">
        <f t="shared" si="3"/>
        <v>vis</v>
      </c>
      <c r="E32" s="26">
        <f>VLOOKUP(C32,Active!C$21:E$973,3,FALSE)</f>
        <v>3664.9637709858871</v>
      </c>
      <c r="F32" s="6" t="s">
        <v>43</v>
      </c>
      <c r="G32" s="17" t="str">
        <f t="shared" si="4"/>
        <v>33896.452</v>
      </c>
      <c r="H32" s="11">
        <f t="shared" si="5"/>
        <v>3665</v>
      </c>
      <c r="I32" s="27" t="s">
        <v>96</v>
      </c>
      <c r="J32" s="28" t="s">
        <v>97</v>
      </c>
      <c r="K32" s="27">
        <v>3665</v>
      </c>
      <c r="L32" s="27" t="s">
        <v>98</v>
      </c>
      <c r="M32" s="28" t="s">
        <v>66</v>
      </c>
      <c r="N32" s="28"/>
      <c r="O32" s="29" t="s">
        <v>67</v>
      </c>
      <c r="P32" s="29" t="s">
        <v>68</v>
      </c>
    </row>
    <row r="33" spans="1:16" ht="12.75" customHeight="1" thickBot="1" x14ac:dyDescent="0.25">
      <c r="A33" s="11" t="str">
        <f t="shared" si="0"/>
        <v> BBS 123 </v>
      </c>
      <c r="B33" s="6" t="str">
        <f t="shared" si="1"/>
        <v>I</v>
      </c>
      <c r="C33" s="11">
        <f t="shared" si="2"/>
        <v>51806.438000000002</v>
      </c>
      <c r="D33" s="17" t="str">
        <f t="shared" si="3"/>
        <v>vis</v>
      </c>
      <c r="E33" s="26">
        <f>VLOOKUP(C33,Active!C$21:E$973,3,FALSE)</f>
        <v>17711.097238375856</v>
      </c>
      <c r="F33" s="6" t="s">
        <v>43</v>
      </c>
      <c r="G33" s="17" t="str">
        <f t="shared" si="4"/>
        <v>51806.438</v>
      </c>
      <c r="H33" s="11">
        <f t="shared" si="5"/>
        <v>17711</v>
      </c>
      <c r="I33" s="27" t="s">
        <v>109</v>
      </c>
      <c r="J33" s="28" t="s">
        <v>110</v>
      </c>
      <c r="K33" s="27">
        <v>17711</v>
      </c>
      <c r="L33" s="27" t="s">
        <v>111</v>
      </c>
      <c r="M33" s="28" t="s">
        <v>102</v>
      </c>
      <c r="N33" s="28" t="s">
        <v>112</v>
      </c>
      <c r="O33" s="29" t="s">
        <v>113</v>
      </c>
      <c r="P33" s="29" t="s">
        <v>114</v>
      </c>
    </row>
    <row r="34" spans="1:16" ht="12.75" customHeight="1" thickBot="1" x14ac:dyDescent="0.25">
      <c r="A34" s="11" t="str">
        <f t="shared" si="0"/>
        <v>BAVM 193 </v>
      </c>
      <c r="B34" s="6" t="str">
        <f t="shared" si="1"/>
        <v>I</v>
      </c>
      <c r="C34" s="11">
        <f t="shared" si="2"/>
        <v>54240.567999999999</v>
      </c>
      <c r="D34" s="17" t="str">
        <f t="shared" si="3"/>
        <v>vis</v>
      </c>
      <c r="E34" s="26">
        <f>VLOOKUP(C34,Active!C$21:E$973,3,FALSE)</f>
        <v>19620.094535022425</v>
      </c>
      <c r="F34" s="6" t="s">
        <v>43</v>
      </c>
      <c r="G34" s="17" t="str">
        <f t="shared" si="4"/>
        <v>54240.5680</v>
      </c>
      <c r="H34" s="11">
        <f t="shared" si="5"/>
        <v>19620</v>
      </c>
      <c r="I34" s="27" t="s">
        <v>132</v>
      </c>
      <c r="J34" s="28" t="s">
        <v>133</v>
      </c>
      <c r="K34" s="27" t="s">
        <v>134</v>
      </c>
      <c r="L34" s="27" t="s">
        <v>135</v>
      </c>
      <c r="M34" s="28" t="s">
        <v>121</v>
      </c>
      <c r="N34" s="28" t="s">
        <v>103</v>
      </c>
      <c r="O34" s="29" t="s">
        <v>136</v>
      </c>
      <c r="P34" s="30" t="s">
        <v>137</v>
      </c>
    </row>
    <row r="35" spans="1:16" ht="12.75" customHeight="1" thickBot="1" x14ac:dyDescent="0.25">
      <c r="A35" s="11" t="str">
        <f t="shared" si="0"/>
        <v>BAVM 203 </v>
      </c>
      <c r="B35" s="6" t="str">
        <f t="shared" si="1"/>
        <v>I</v>
      </c>
      <c r="C35" s="11">
        <f t="shared" si="2"/>
        <v>54685.569100000001</v>
      </c>
      <c r="D35" s="17" t="str">
        <f t="shared" si="3"/>
        <v>vis</v>
      </c>
      <c r="E35" s="26">
        <f>VLOOKUP(C35,Active!C$21:E$973,3,FALSE)</f>
        <v>19969.092286541349</v>
      </c>
      <c r="F35" s="6" t="s">
        <v>43</v>
      </c>
      <c r="G35" s="17" t="str">
        <f t="shared" si="4"/>
        <v>54685.5691</v>
      </c>
      <c r="H35" s="11">
        <f t="shared" si="5"/>
        <v>19969</v>
      </c>
      <c r="I35" s="27" t="s">
        <v>138</v>
      </c>
      <c r="J35" s="28" t="s">
        <v>139</v>
      </c>
      <c r="K35" s="27" t="s">
        <v>140</v>
      </c>
      <c r="L35" s="27" t="s">
        <v>141</v>
      </c>
      <c r="M35" s="28" t="s">
        <v>121</v>
      </c>
      <c r="N35" s="28" t="s">
        <v>122</v>
      </c>
      <c r="O35" s="29" t="s">
        <v>104</v>
      </c>
      <c r="P35" s="30" t="s">
        <v>142</v>
      </c>
    </row>
    <row r="36" spans="1:16" x14ac:dyDescent="0.2">
      <c r="B36" s="6"/>
      <c r="E36" s="26"/>
      <c r="F36" s="6"/>
    </row>
    <row r="37" spans="1:16" x14ac:dyDescent="0.2">
      <c r="B37" s="6"/>
      <c r="E37" s="26"/>
      <c r="F37" s="6"/>
    </row>
    <row r="38" spans="1:16" x14ac:dyDescent="0.2">
      <c r="B38" s="6"/>
      <c r="E38" s="26"/>
      <c r="F38" s="6"/>
    </row>
    <row r="39" spans="1:16" x14ac:dyDescent="0.2">
      <c r="B39" s="6"/>
      <c r="E39" s="26"/>
      <c r="F39" s="6"/>
    </row>
    <row r="40" spans="1:16" x14ac:dyDescent="0.2">
      <c r="B40" s="6"/>
      <c r="E40" s="26"/>
      <c r="F40" s="6"/>
    </row>
    <row r="41" spans="1:16" x14ac:dyDescent="0.2">
      <c r="B41" s="6"/>
      <c r="E41" s="26"/>
      <c r="F41" s="6"/>
    </row>
    <row r="42" spans="1:16" x14ac:dyDescent="0.2">
      <c r="B42" s="6"/>
      <c r="E42" s="26"/>
      <c r="F42" s="6"/>
    </row>
    <row r="43" spans="1:16" x14ac:dyDescent="0.2">
      <c r="B43" s="6"/>
      <c r="E43" s="26"/>
      <c r="F43" s="6"/>
    </row>
    <row r="44" spans="1:16" x14ac:dyDescent="0.2">
      <c r="B44" s="6"/>
      <c r="E44" s="26"/>
      <c r="F44" s="6"/>
    </row>
    <row r="45" spans="1:16" x14ac:dyDescent="0.2">
      <c r="B45" s="6"/>
      <c r="E45" s="26"/>
      <c r="F45" s="6"/>
    </row>
    <row r="46" spans="1:16" x14ac:dyDescent="0.2">
      <c r="B46" s="6"/>
      <c r="E46" s="26"/>
      <c r="F46" s="6"/>
    </row>
    <row r="47" spans="1:16" x14ac:dyDescent="0.2">
      <c r="B47" s="6"/>
      <c r="E47" s="26"/>
      <c r="F47" s="6"/>
    </row>
    <row r="48" spans="1:16" x14ac:dyDescent="0.2">
      <c r="B48" s="6"/>
      <c r="E48" s="26"/>
      <c r="F48" s="6"/>
    </row>
    <row r="49" spans="2:6" x14ac:dyDescent="0.2">
      <c r="B49" s="6"/>
      <c r="E49" s="26"/>
      <c r="F49" s="6"/>
    </row>
    <row r="50" spans="2:6" x14ac:dyDescent="0.2">
      <c r="B50" s="6"/>
      <c r="E50" s="26"/>
      <c r="F50" s="6"/>
    </row>
    <row r="51" spans="2:6" x14ac:dyDescent="0.2">
      <c r="B51" s="6"/>
      <c r="E51" s="26"/>
      <c r="F51" s="6"/>
    </row>
    <row r="52" spans="2:6" x14ac:dyDescent="0.2">
      <c r="B52" s="6"/>
      <c r="E52" s="26"/>
      <c r="F52" s="6"/>
    </row>
    <row r="53" spans="2:6" x14ac:dyDescent="0.2">
      <c r="B53" s="6"/>
      <c r="E53" s="26"/>
      <c r="F53" s="6"/>
    </row>
    <row r="54" spans="2:6" x14ac:dyDescent="0.2">
      <c r="B54" s="6"/>
      <c r="E54" s="26"/>
      <c r="F54" s="6"/>
    </row>
    <row r="55" spans="2:6" x14ac:dyDescent="0.2">
      <c r="B55" s="6"/>
      <c r="E55" s="26"/>
      <c r="F55" s="6"/>
    </row>
    <row r="56" spans="2:6" x14ac:dyDescent="0.2">
      <c r="B56" s="6"/>
      <c r="E56" s="26"/>
      <c r="F56" s="6"/>
    </row>
    <row r="57" spans="2:6" x14ac:dyDescent="0.2">
      <c r="B57" s="6"/>
      <c r="E57" s="26"/>
      <c r="F57" s="6"/>
    </row>
    <row r="58" spans="2:6" x14ac:dyDescent="0.2">
      <c r="B58" s="6"/>
      <c r="E58" s="26"/>
      <c r="F58" s="6"/>
    </row>
    <row r="59" spans="2:6" x14ac:dyDescent="0.2">
      <c r="B59" s="6"/>
      <c r="E59" s="26"/>
      <c r="F59" s="6"/>
    </row>
    <row r="60" spans="2:6" x14ac:dyDescent="0.2">
      <c r="B60" s="6"/>
      <c r="E60" s="26"/>
      <c r="F60" s="6"/>
    </row>
    <row r="61" spans="2:6" x14ac:dyDescent="0.2">
      <c r="B61" s="6"/>
      <c r="E61" s="26"/>
      <c r="F61" s="6"/>
    </row>
    <row r="62" spans="2:6" x14ac:dyDescent="0.2">
      <c r="B62" s="6"/>
      <c r="E62" s="26"/>
      <c r="F62" s="6"/>
    </row>
    <row r="63" spans="2:6" x14ac:dyDescent="0.2">
      <c r="B63" s="6"/>
      <c r="E63" s="26"/>
      <c r="F63" s="6"/>
    </row>
    <row r="64" spans="2:6" x14ac:dyDescent="0.2">
      <c r="B64" s="6"/>
      <c r="E64" s="26"/>
      <c r="F64" s="6"/>
    </row>
    <row r="65" spans="2:6" x14ac:dyDescent="0.2">
      <c r="B65" s="6"/>
      <c r="E65" s="26"/>
      <c r="F65" s="6"/>
    </row>
    <row r="66" spans="2:6" x14ac:dyDescent="0.2">
      <c r="B66" s="6"/>
      <c r="E66" s="26"/>
      <c r="F66" s="6"/>
    </row>
    <row r="67" spans="2:6" x14ac:dyDescent="0.2">
      <c r="B67" s="6"/>
      <c r="E67" s="26"/>
      <c r="F67" s="6"/>
    </row>
    <row r="68" spans="2:6" x14ac:dyDescent="0.2">
      <c r="B68" s="6"/>
      <c r="E68" s="26"/>
      <c r="F68" s="6"/>
    </row>
    <row r="69" spans="2:6" x14ac:dyDescent="0.2">
      <c r="B69" s="6"/>
      <c r="E69" s="26"/>
      <c r="F69" s="6"/>
    </row>
    <row r="70" spans="2:6" x14ac:dyDescent="0.2">
      <c r="B70" s="6"/>
      <c r="E70" s="26"/>
      <c r="F70" s="6"/>
    </row>
    <row r="71" spans="2:6" x14ac:dyDescent="0.2">
      <c r="B71" s="6"/>
      <c r="E71" s="26"/>
      <c r="F71" s="6"/>
    </row>
    <row r="72" spans="2:6" x14ac:dyDescent="0.2">
      <c r="B72" s="6"/>
      <c r="E72" s="26"/>
      <c r="F72" s="6"/>
    </row>
    <row r="73" spans="2:6" x14ac:dyDescent="0.2">
      <c r="B73" s="6"/>
      <c r="E73" s="26"/>
      <c r="F73" s="6"/>
    </row>
    <row r="74" spans="2:6" x14ac:dyDescent="0.2">
      <c r="B74" s="6"/>
      <c r="E74" s="26"/>
      <c r="F74" s="6"/>
    </row>
    <row r="75" spans="2:6" x14ac:dyDescent="0.2">
      <c r="B75" s="6"/>
      <c r="E75" s="26"/>
      <c r="F75" s="6"/>
    </row>
    <row r="76" spans="2:6" x14ac:dyDescent="0.2">
      <c r="B76" s="6"/>
      <c r="E76" s="26"/>
      <c r="F76" s="6"/>
    </row>
    <row r="77" spans="2:6" x14ac:dyDescent="0.2">
      <c r="B77" s="6"/>
      <c r="E77" s="26"/>
      <c r="F77" s="6"/>
    </row>
    <row r="78" spans="2:6" x14ac:dyDescent="0.2">
      <c r="B78" s="6"/>
      <c r="E78" s="26"/>
      <c r="F78" s="6"/>
    </row>
    <row r="79" spans="2:6" x14ac:dyDescent="0.2">
      <c r="B79" s="6"/>
      <c r="E79" s="26"/>
      <c r="F79" s="6"/>
    </row>
    <row r="80" spans="2:6" x14ac:dyDescent="0.2">
      <c r="B80" s="6"/>
      <c r="E80" s="26"/>
      <c r="F80" s="6"/>
    </row>
    <row r="81" spans="2:6" x14ac:dyDescent="0.2">
      <c r="B81" s="6"/>
      <c r="E81" s="26"/>
      <c r="F81" s="6"/>
    </row>
    <row r="82" spans="2:6" x14ac:dyDescent="0.2">
      <c r="B82" s="6"/>
      <c r="E82" s="26"/>
      <c r="F82" s="6"/>
    </row>
    <row r="83" spans="2:6" x14ac:dyDescent="0.2">
      <c r="B83" s="6"/>
      <c r="E83" s="2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</sheetData>
  <phoneticPr fontId="7" type="noConversion"/>
  <hyperlinks>
    <hyperlink ref="P11" r:id="rId1" display="http://www.bav-astro.de/sfs/BAVM_link.php?BAVMnr=158"/>
    <hyperlink ref="P12" r:id="rId2" display="http://www.bav-astro.de/sfs/BAVM_link.php?BAVMnr=158"/>
    <hyperlink ref="P13" r:id="rId3" display="http://www.bav-astro.de/sfs/BAVM_link.php?BAVMnr=158"/>
    <hyperlink ref="P14" r:id="rId4" display="http://www.bav-astro.de/sfs/BAVM_link.php?BAVMnr=178"/>
    <hyperlink ref="P15" r:id="rId5" display="http://www.bav-astro.de/sfs/BAVM_link.php?BAVMnr=178"/>
    <hyperlink ref="P16" r:id="rId6" display="http://www.bav-astro.de/sfs/BAVM_link.php?BAVMnr=178"/>
    <hyperlink ref="P34" r:id="rId7" display="http://www.bav-astro.de/sfs/BAVM_link.php?BAVMnr=193"/>
    <hyperlink ref="P35" r:id="rId8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2024-01-31T03:45:15Z</dcterms:modified>
</cp:coreProperties>
</file>