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BDDFF5-3D9F-40A4-AA89-916109CFD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E25" i="1"/>
  <c r="F25" i="1"/>
  <c r="E28" i="1"/>
  <c r="F28" i="1"/>
  <c r="E33" i="1"/>
  <c r="F33" i="1"/>
  <c r="E36" i="1"/>
  <c r="F36" i="1"/>
  <c r="E41" i="1"/>
  <c r="F41" i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G17" i="2"/>
  <c r="C17" i="2"/>
  <c r="G16" i="2"/>
  <c r="C16" i="2"/>
  <c r="E16" i="2"/>
  <c r="G15" i="2"/>
  <c r="C15" i="2"/>
  <c r="G14" i="2"/>
  <c r="C14" i="2"/>
  <c r="G13" i="2"/>
  <c r="C13" i="2"/>
  <c r="G12" i="2"/>
  <c r="C12" i="2"/>
  <c r="G11" i="2"/>
  <c r="C11" i="2"/>
  <c r="E11" i="2"/>
  <c r="G31" i="2"/>
  <c r="C31" i="2"/>
  <c r="G30" i="2"/>
  <c r="C30" i="2"/>
  <c r="G29" i="2"/>
  <c r="C29" i="2"/>
  <c r="E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G22" i="2"/>
  <c r="C22" i="2"/>
  <c r="G21" i="2"/>
  <c r="C21" i="2"/>
  <c r="E21" i="2"/>
  <c r="G20" i="2"/>
  <c r="C20" i="2"/>
  <c r="G19" i="2"/>
  <c r="C19" i="2"/>
  <c r="E19" i="2"/>
  <c r="G18" i="2"/>
  <c r="C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F16" i="1"/>
  <c r="Q42" i="1"/>
  <c r="Q41" i="1"/>
  <c r="Q40" i="1"/>
  <c r="Q37" i="1"/>
  <c r="Q39" i="1"/>
  <c r="Q36" i="1"/>
  <c r="Q38" i="1"/>
  <c r="C24" i="1"/>
  <c r="C17" i="1"/>
  <c r="C7" i="1"/>
  <c r="E22" i="1"/>
  <c r="F22" i="1"/>
  <c r="C8" i="1"/>
  <c r="Q24" i="1"/>
  <c r="E26" i="2"/>
  <c r="E27" i="2"/>
  <c r="E17" i="2"/>
  <c r="E13" i="2"/>
  <c r="E30" i="2"/>
  <c r="E38" i="1"/>
  <c r="F38" i="1"/>
  <c r="G38" i="1"/>
  <c r="J38" i="1"/>
  <c r="E30" i="1"/>
  <c r="F30" i="1"/>
  <c r="G30" i="1"/>
  <c r="H30" i="1"/>
  <c r="E24" i="1"/>
  <c r="F24" i="1"/>
  <c r="G37" i="1"/>
  <c r="K37" i="1"/>
  <c r="E35" i="1"/>
  <c r="E27" i="1"/>
  <c r="E21" i="1"/>
  <c r="F21" i="1"/>
  <c r="G21" i="1"/>
  <c r="H21" i="1"/>
  <c r="G42" i="1"/>
  <c r="J42" i="1"/>
  <c r="E40" i="1"/>
  <c r="G34" i="1"/>
  <c r="H34" i="1"/>
  <c r="E32" i="1"/>
  <c r="E23" i="1"/>
  <c r="E37" i="1"/>
  <c r="F37" i="1"/>
  <c r="E29" i="1"/>
  <c r="F29" i="1"/>
  <c r="G29" i="1"/>
  <c r="H29" i="1"/>
  <c r="G22" i="1"/>
  <c r="H22" i="1"/>
  <c r="E42" i="1"/>
  <c r="F42" i="1"/>
  <c r="G36" i="1"/>
  <c r="E34" i="1"/>
  <c r="F34" i="1"/>
  <c r="G28" i="1"/>
  <c r="H28" i="1"/>
  <c r="E26" i="1"/>
  <c r="F26" i="1"/>
  <c r="G26" i="1"/>
  <c r="H26" i="1"/>
  <c r="G41" i="1"/>
  <c r="J41" i="1"/>
  <c r="E39" i="1"/>
  <c r="F39" i="1"/>
  <c r="G39" i="1"/>
  <c r="K39" i="1"/>
  <c r="G33" i="1"/>
  <c r="H33" i="1"/>
  <c r="E31" i="1"/>
  <c r="F31" i="1"/>
  <c r="G31" i="1"/>
  <c r="H31" i="1"/>
  <c r="G25" i="1"/>
  <c r="H25" i="1"/>
  <c r="E14" i="2"/>
  <c r="E23" i="2"/>
  <c r="F27" i="1"/>
  <c r="G27" i="1"/>
  <c r="H27" i="1"/>
  <c r="J36" i="1"/>
  <c r="E20" i="2"/>
  <c r="F23" i="1"/>
  <c r="G23" i="1"/>
  <c r="H23" i="1"/>
  <c r="E18" i="2"/>
  <c r="F32" i="1"/>
  <c r="G32" i="1"/>
  <c r="H32" i="1"/>
  <c r="E28" i="2"/>
  <c r="F35" i="1"/>
  <c r="G35" i="1"/>
  <c r="H35" i="1"/>
  <c r="E31" i="2"/>
  <c r="E22" i="2"/>
  <c r="E15" i="2"/>
  <c r="F40" i="1"/>
  <c r="G40" i="1"/>
  <c r="E25" i="2"/>
  <c r="E12" i="2"/>
  <c r="J40" i="1"/>
  <c r="C11" i="1"/>
  <c r="C12" i="1"/>
  <c r="C16" i="1" l="1"/>
  <c r="D18" i="1" s="1"/>
  <c r="O36" i="1"/>
  <c r="O41" i="1"/>
  <c r="O28" i="1"/>
  <c r="O26" i="1"/>
  <c r="O39" i="1"/>
  <c r="O35" i="1"/>
  <c r="O21" i="1"/>
  <c r="O31" i="1"/>
  <c r="O38" i="1"/>
  <c r="O30" i="1"/>
  <c r="O23" i="1"/>
  <c r="C15" i="1"/>
  <c r="O37" i="1"/>
  <c r="O34" i="1"/>
  <c r="O27" i="1"/>
  <c r="O40" i="1"/>
  <c r="O22" i="1"/>
  <c r="O25" i="1"/>
  <c r="O42" i="1"/>
  <c r="O33" i="1"/>
  <c r="O32" i="1"/>
  <c r="O29" i="1"/>
  <c r="F17" i="1"/>
  <c r="C18" i="1" l="1"/>
  <c r="F18" i="1"/>
  <c r="F19" i="1" s="1"/>
</calcChain>
</file>

<file path=xl/sharedStrings.xml><?xml version="1.0" encoding="utf-8"?>
<sst xmlns="http://schemas.openxmlformats.org/spreadsheetml/2006/main" count="265" uniqueCount="140">
  <si>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</si>
  <si>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</si>
  <si>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</si>
  <si>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</si>
  <si>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</si>
  <si>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</si>
  <si>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</si>
  <si>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</si>
  <si>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</si>
  <si>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</si>
  <si>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</si>
  <si>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</si>
  <si>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</si>
  <si>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</si>
  <si>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</si>
  <si>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</si>
  <si>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</si>
  <si>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</si>
  <si>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</si>
  <si>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</si>
  <si>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</si>
  <si>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</si>
  <si>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</si>
  <si>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</si>
  <si>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</si>
  <si>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</si>
  <si>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</si>
  <si>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GCVS 4</t>
  </si>
  <si>
    <t>Sp:  na</t>
  </si>
  <si>
    <t>EA</t>
  </si>
  <si>
    <t>Mag:  12.7-13.5</t>
  </si>
  <si>
    <t>IBVS 4711</t>
  </si>
  <si>
    <t>IBVS 5484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</si>
  <si>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</si>
  <si>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</si>
  <si>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</si>
  <si>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</si>
  <si>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</si>
  <si>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</si>
  <si>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</si>
  <si>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</t>
  </si>
  <si>
    <t>OEJV 0074</t>
  </si>
  <si>
    <t>IBVS 6070</t>
  </si>
  <si>
    <t>IBVS 6048</t>
  </si>
  <si>
    <t>II</t>
  </si>
  <si>
    <t>V0501 Cyg / gsc 2693-1511?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</si>
  <si>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</si>
  <si>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</si>
  <si>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</si>
  <si>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</si>
  <si>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</si>
  <si>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</si>
  <si>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</si>
  <si>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</si>
  <si>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</si>
  <si>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</si>
  <si>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</si>
  <si>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</si>
  <si>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</si>
  <si>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2425530.321 </t>
  </si>
  <si>
    <t> 10.10.1928 19:42 </t>
  </si>
  <si>
    <t> -0.000 </t>
  </si>
  <si>
    <t>P </t>
  </si>
  <si>
    <t> A.A.Wachmann </t>
  </si>
  <si>
    <t> AAAN 11.5.44 </t>
  </si>
  <si>
    <t>2426178.504 </t>
  </si>
  <si>
    <t> 21.07.1930 00:05 </t>
  </si>
  <si>
    <t> -0.066 </t>
  </si>
  <si>
    <t>2428095.329 </t>
  </si>
  <si>
    <t> 19.10.1935 19:53 </t>
  </si>
  <si>
    <t> 0.074 </t>
  </si>
  <si>
    <t>2428109.328 </t>
  </si>
  <si>
    <t> 02.11.1935 19:52 </t>
  </si>
  <si>
    <t> 0.042 </t>
  </si>
  <si>
    <t>2428280.554 </t>
  </si>
  <si>
    <t> 22.04.1936 01:17 </t>
  </si>
  <si>
    <t> 0.085 </t>
  </si>
  <si>
    <t>2428308.488 </t>
  </si>
  <si>
    <t> 19.05.1936 23:42 </t>
  </si>
  <si>
    <t> -0.043 </t>
  </si>
  <si>
    <t>2428367.503 </t>
  </si>
  <si>
    <t> 18.07.1936 00:04 </t>
  </si>
  <si>
    <t> 0.040 </t>
  </si>
  <si>
    <t>2428426.367 </t>
  </si>
  <si>
    <t> 14.09.1936 20:48 </t>
  </si>
  <si>
    <t> -0.028 </t>
  </si>
  <si>
    <t>2428656.529 </t>
  </si>
  <si>
    <t> 03.05.1937 00:41 </t>
  </si>
  <si>
    <t> 0.020 </t>
  </si>
  <si>
    <t>2428774.394 </t>
  </si>
  <si>
    <t> 28.08.1937 21:27 </t>
  </si>
  <si>
    <t> 0.021 </t>
  </si>
  <si>
    <t>2428847.327 </t>
  </si>
  <si>
    <t> 09.11.1937 19:50 </t>
  </si>
  <si>
    <t> -0.009 </t>
  </si>
  <si>
    <t>2429192.396 </t>
  </si>
  <si>
    <t> 20.10.1938 21:30 </t>
  </si>
  <si>
    <t> -0.111 </t>
  </si>
  <si>
    <t>2429195.351 </t>
  </si>
  <si>
    <t> 23.10.1938 20:25 </t>
  </si>
  <si>
    <t> 0.037 </t>
  </si>
  <si>
    <t>2429223.313 </t>
  </si>
  <si>
    <t> 20.11.1938 19:30 </t>
  </si>
  <si>
    <t> -0.063 </t>
  </si>
  <si>
    <t>2450702.4527 </t>
  </si>
  <si>
    <t> 10.09.1997 22:51 </t>
  </si>
  <si>
    <t> -1.5404 </t>
  </si>
  <si>
    <t>E </t>
  </si>
  <si>
    <t>o</t>
  </si>
  <si>
    <t> W.Moschner </t>
  </si>
  <si>
    <t>BAVM 117 </t>
  </si>
  <si>
    <t>2451833.32956 </t>
  </si>
  <si>
    <t> 15.10.2000 19:54 </t>
  </si>
  <si>
    <t> -1.59152 </t>
  </si>
  <si>
    <t>C </t>
  </si>
  <si>
    <t> J.Šafár </t>
  </si>
  <si>
    <t>OEJV 0074 </t>
  </si>
  <si>
    <t>2452557.3452 </t>
  </si>
  <si>
    <t> 09.10.2002 20:17 </t>
  </si>
  <si>
    <t> -1.5943 </t>
  </si>
  <si>
    <t> F.Agerer </t>
  </si>
  <si>
    <t>BAVM 158 </t>
  </si>
  <si>
    <t>2453918.377 </t>
  </si>
  <si>
    <t> 01.07.2006 21:02 </t>
  </si>
  <si>
    <t> -1.605 </t>
  </si>
  <si>
    <t> R. Diethelm </t>
  </si>
  <si>
    <t> BBS 133 (=IBVS 5781) </t>
  </si>
  <si>
    <t>2456132.4324 </t>
  </si>
  <si>
    <t> 23.07.2012 22:22 </t>
  </si>
  <si>
    <t> -1.6989 </t>
  </si>
  <si>
    <t> U.Schmidt </t>
  </si>
  <si>
    <t>BAVM 231 </t>
  </si>
  <si>
    <t>2456132.4424 </t>
  </si>
  <si>
    <t> 23.07.2012 22:37 </t>
  </si>
  <si>
    <t> -1.6889 </t>
  </si>
  <si>
    <t>BAVM 228 </t>
  </si>
  <si>
    <t>2456167.5068 </t>
  </si>
  <si>
    <t> 28.08.2012 00:09 </t>
  </si>
  <si>
    <t> -1.7029 </t>
  </si>
  <si>
    <t>Start of linear fit &gt;&gt;&gt;&gt;&gt;&gt;&gt;&gt;&gt;&gt;&gt;&gt;&gt;&gt;&gt;&gt;&gt;&gt;&gt;&gt;&gt;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</si>
</sst>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7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3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14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166" fontId="16" fillId="0" borderId="1" xfId="0" applyNumberFormat="1" applyFont="1" applyBorder="1" applyAlignment="1">
      <alignment horizontal="left"/>
    </xf>
    <xf numFmtId="0" fontId="17" fillId="0" borderId="0" xfId="0" applyFont="1">
      <alignment vertical="top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V0501 Cyg - O-C Diagr.</a:t>
            </a:r>
          </a:p>
        </c:rich>
      </c:tx>
      <c:layout>
        <c:manualLayout>
          <c:xMode val="edge"/>
          <c:yMode val="edge"/>
          <c:x val="0.347676419965576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723926380368099"/>
          <c:w val="0.798623063683304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-1.1299999823677354E-4</c:v>
                </c:pt>
                <c:pt idx="1">
                  <c:v>-6.6176000000268687E-2</c:v>
                </c:pt>
                <c:pt idx="2">
                  <c:v>7.436500000039814E-2</c:v>
                </c:pt>
                <c:pt idx="3">
                  <c:v>0</c:v>
                </c:pt>
                <c:pt idx="4">
                  <c:v>4.2000000001280569E-2</c:v>
                </c:pt>
                <c:pt idx="5">
                  <c:v>8.5347000000183471E-2</c:v>
                </c:pt>
                <c:pt idx="6">
                  <c:v>-4.3383000000176253E-2</c:v>
                </c:pt>
                <c:pt idx="7">
                  <c:v>3.9884000001620734E-2</c:v>
                </c:pt>
                <c:pt idx="8">
                  <c:v>-2.7849000001879176E-2</c:v>
                </c:pt>
                <c:pt idx="9">
                  <c:v>1.976499999727821E-2</c:v>
                </c:pt>
                <c:pt idx="10">
                  <c:v>2.1298999999999069E-2</c:v>
                </c:pt>
                <c:pt idx="11">
                  <c:v>-8.7989999992714729E-3</c:v>
                </c:pt>
                <c:pt idx="12">
                  <c:v>-0.11137799999778508</c:v>
                </c:pt>
                <c:pt idx="13">
                  <c:v>3.7348999998357613E-2</c:v>
                </c:pt>
                <c:pt idx="14">
                  <c:v>-6.3381000003573718E-2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7A-44F3-B005-6B82C7683E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7A-44F3-B005-6B82C7683E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5">
                  <c:v>-0.13722299999790266</c:v>
                </c:pt>
                <c:pt idx="17">
                  <c:v>-0.19117600000026869</c:v>
                </c:pt>
                <c:pt idx="19">
                  <c:v>-0.29577800000697607</c:v>
                </c:pt>
                <c:pt idx="20">
                  <c:v>-0.2857780000049388</c:v>
                </c:pt>
                <c:pt idx="21">
                  <c:v>-0.29979049999383278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7A-44F3-B005-6B82C7683E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6">
                  <c:v>-0.18838200000027427</c:v>
                </c:pt>
                <c:pt idx="18">
                  <c:v>-0.20178100000339327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7A-44F3-B005-6B82C7683E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7A-44F3-B005-6B82C7683E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7A-44F3-B005-6B82C7683E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7A-44F3-B005-6B82C7683E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0.55258698857354083</c:v>
                </c:pt>
                <c:pt idx="1">
                  <c:v>0.53475083191699169</c:v>
                </c:pt>
                <c:pt idx="2">
                  <c:v>0.48201448994113427</c:v>
                </c:pt>
                <c:pt idx="4">
                  <c:v>0.48162842594423927</c:v>
                </c:pt>
                <c:pt idx="5">
                  <c:v>0.47691844518212023</c:v>
                </c:pt>
                <c:pt idx="6">
                  <c:v>0.47614631718833023</c:v>
                </c:pt>
                <c:pt idx="7">
                  <c:v>0.47452484840137121</c:v>
                </c:pt>
                <c:pt idx="8">
                  <c:v>0.4729033796144122</c:v>
                </c:pt>
                <c:pt idx="9">
                  <c:v>0.46657193006533415</c:v>
                </c:pt>
                <c:pt idx="10">
                  <c:v>0.46332899249141613</c:v>
                </c:pt>
                <c:pt idx="11">
                  <c:v>0.46132145970756211</c:v>
                </c:pt>
                <c:pt idx="12">
                  <c:v>0.45182428538394503</c:v>
                </c:pt>
                <c:pt idx="13">
                  <c:v>0.45174707258456603</c:v>
                </c:pt>
                <c:pt idx="14">
                  <c:v>0.45097494459077603</c:v>
                </c:pt>
                <c:pt idx="15">
                  <c:v>-0.14001182185609418</c:v>
                </c:pt>
                <c:pt idx="16">
                  <c:v>-0.17112858000583142</c:v>
                </c:pt>
                <c:pt idx="17">
                  <c:v>-0.19104948224561358</c:v>
                </c:pt>
                <c:pt idx="18">
                  <c:v>-0.22849768994442887</c:v>
                </c:pt>
                <c:pt idx="19">
                  <c:v>-0.28941858865446024</c:v>
                </c:pt>
                <c:pt idx="20">
                  <c:v>-0.28941858865446024</c:v>
                </c:pt>
                <c:pt idx="21">
                  <c:v>-0.2903837486466978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7A-44F3-B005-6B82C768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13128"/>
        <c:axId val="1"/>
      </c:scatterChart>
      <c:valAx>
        <c:axId val="89361312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569707401032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13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4922547332186"/>
          <c:y val="0.92024539877300615"/>
          <c:w val="0.719449225473321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V0501 Cyg - O-C Diagr.</a:t>
            </a:r>
          </a:p>
        </c:rich>
      </c:tx>
      <c:layout>
        <c:manualLayout>
          <c:xMode val="edge"/>
          <c:yMode val="edge"/>
          <c:x val="0.347079578970154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5727531893545"/>
          <c:y val="0.14678942920199375"/>
          <c:w val="0.8092797084402324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-1.1299999823677354E-4</c:v>
                </c:pt>
                <c:pt idx="1">
                  <c:v>-6.6176000000268687E-2</c:v>
                </c:pt>
                <c:pt idx="2">
                  <c:v>7.436500000039814E-2</c:v>
                </c:pt>
                <c:pt idx="3">
                  <c:v>0</c:v>
                </c:pt>
                <c:pt idx="4">
                  <c:v>4.2000000001280569E-2</c:v>
                </c:pt>
                <c:pt idx="5">
                  <c:v>8.5347000000183471E-2</c:v>
                </c:pt>
                <c:pt idx="6">
                  <c:v>-4.3383000000176253E-2</c:v>
                </c:pt>
                <c:pt idx="7">
                  <c:v>3.9884000001620734E-2</c:v>
                </c:pt>
                <c:pt idx="8">
                  <c:v>-2.7849000001879176E-2</c:v>
                </c:pt>
                <c:pt idx="9">
                  <c:v>1.976499999727821E-2</c:v>
                </c:pt>
                <c:pt idx="10">
                  <c:v>2.1298999999999069E-2</c:v>
                </c:pt>
                <c:pt idx="11">
                  <c:v>-8.7989999992714729E-3</c:v>
                </c:pt>
                <c:pt idx="12">
                  <c:v>-0.11137799999778508</c:v>
                </c:pt>
                <c:pt idx="13">
                  <c:v>3.7348999998357613E-2</c:v>
                </c:pt>
                <c:pt idx="14">
                  <c:v>-6.3381000003573718E-2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9-4851-982D-14310ED0EF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49-4851-982D-14310ED0EF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5">
                  <c:v>-0.13722299999790266</c:v>
                </c:pt>
                <c:pt idx="17">
                  <c:v>-0.19117600000026869</c:v>
                </c:pt>
                <c:pt idx="19">
                  <c:v>-0.29577800000697607</c:v>
                </c:pt>
                <c:pt idx="20">
                  <c:v>-0.2857780000049388</c:v>
                </c:pt>
                <c:pt idx="21">
                  <c:v>-0.29979049999383278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49-4851-982D-14310ED0EF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6">
                  <c:v>-0.18838200000027427</c:v>
                </c:pt>
                <c:pt idx="18">
                  <c:v>-0.20178100000339327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49-4851-982D-14310ED0EF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49-4851-982D-14310ED0EF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49-4851-982D-14310ED0EF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2.3E-3</c:v>
                  </c:pt>
                  <c:pt idx="17">
                    <c:v>1.8E-3</c:v>
                  </c:pt>
                  <c:pt idx="18">
                    <c:v>5.0000000000000001E-3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49-4851-982D-14310ED0EF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-919</c:v>
                </c:pt>
                <c:pt idx="1">
                  <c:v>-688</c:v>
                </c:pt>
                <c:pt idx="2">
                  <c:v>-5</c:v>
                </c:pt>
                <c:pt idx="3">
                  <c:v>0</c:v>
                </c:pt>
                <c:pt idx="4">
                  <c:v>0</c:v>
                </c:pt>
                <c:pt idx="5">
                  <c:v>61</c:v>
                </c:pt>
                <c:pt idx="6">
                  <c:v>71</c:v>
                </c:pt>
                <c:pt idx="7">
                  <c:v>92</c:v>
                </c:pt>
                <c:pt idx="8">
                  <c:v>113</c:v>
                </c:pt>
                <c:pt idx="9">
                  <c:v>195</c:v>
                </c:pt>
                <c:pt idx="10">
                  <c:v>237</c:v>
                </c:pt>
                <c:pt idx="11">
                  <c:v>263</c:v>
                </c:pt>
                <c:pt idx="12">
                  <c:v>386</c:v>
                </c:pt>
                <c:pt idx="13">
                  <c:v>387</c:v>
                </c:pt>
                <c:pt idx="14">
                  <c:v>397</c:v>
                </c:pt>
                <c:pt idx="15">
                  <c:v>8051</c:v>
                </c:pt>
                <c:pt idx="16">
                  <c:v>8454</c:v>
                </c:pt>
                <c:pt idx="17">
                  <c:v>8712</c:v>
                </c:pt>
                <c:pt idx="18">
                  <c:v>9197</c:v>
                </c:pt>
                <c:pt idx="19">
                  <c:v>9986</c:v>
                </c:pt>
                <c:pt idx="20">
                  <c:v>9986</c:v>
                </c:pt>
                <c:pt idx="21">
                  <c:v>9998.5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0.55258698857354083</c:v>
                </c:pt>
                <c:pt idx="1">
                  <c:v>0.53475083191699169</c:v>
                </c:pt>
                <c:pt idx="2">
                  <c:v>0.48201448994113427</c:v>
                </c:pt>
                <c:pt idx="4">
                  <c:v>0.48162842594423927</c:v>
                </c:pt>
                <c:pt idx="5">
                  <c:v>0.47691844518212023</c:v>
                </c:pt>
                <c:pt idx="6">
                  <c:v>0.47614631718833023</c:v>
                </c:pt>
                <c:pt idx="7">
                  <c:v>0.47452484840137121</c:v>
                </c:pt>
                <c:pt idx="8">
                  <c:v>0.4729033796144122</c:v>
                </c:pt>
                <c:pt idx="9">
                  <c:v>0.46657193006533415</c:v>
                </c:pt>
                <c:pt idx="10">
                  <c:v>0.46332899249141613</c:v>
                </c:pt>
                <c:pt idx="11">
                  <c:v>0.46132145970756211</c:v>
                </c:pt>
                <c:pt idx="12">
                  <c:v>0.45182428538394503</c:v>
                </c:pt>
                <c:pt idx="13">
                  <c:v>0.45174707258456603</c:v>
                </c:pt>
                <c:pt idx="14">
                  <c:v>0.45097494459077603</c:v>
                </c:pt>
                <c:pt idx="15">
                  <c:v>-0.14001182185609418</c:v>
                </c:pt>
                <c:pt idx="16">
                  <c:v>-0.17112858000583142</c:v>
                </c:pt>
                <c:pt idx="17">
                  <c:v>-0.19104948224561358</c:v>
                </c:pt>
                <c:pt idx="18">
                  <c:v>-0.22849768994442887</c:v>
                </c:pt>
                <c:pt idx="19">
                  <c:v>-0.28941858865446024</c:v>
                </c:pt>
                <c:pt idx="20">
                  <c:v>-0.28941858865446024</c:v>
                </c:pt>
                <c:pt idx="21">
                  <c:v>-0.2903837486466978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49-4851-982D-14310ED0E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302752"/>
        <c:axId val="1"/>
      </c:scatterChart>
      <c:valAx>
        <c:axId val="7683027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012455917237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30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0379720576163"/>
          <c:y val="0.9204921861831491"/>
          <c:w val="0.7182143211480008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209550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08A77D5-D2EF-71A3-1AAC-0795DAE43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57151</xdr:rowOff>
    </xdr:from>
    <xdr:to>
      <xdr:col>26</xdr:col>
      <xdr:colOff>561975</xdr:colOff>
      <xdr:row>18</xdr:row>
      <xdr:rowOff>57151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74B93C9-03F4-BB65-DADF-AE9B84AA3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58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2" t="s">
        <v>45</v>
      </c>
      <c r="D1" s="19"/>
      <c r="E1" s="19"/>
      <c r="F1" s="19"/>
    </row>
    <row r="2" spans="1:6" x14ac:dyDescent="0.2">
      <c r="A2" t="s">
        <v>23</v>
      </c>
      <c r="B2" t="s">
        <v>29</v>
      </c>
      <c r="C2" t="s">
        <v>30</v>
      </c>
      <c r="D2" s="19"/>
      <c r="E2" s="19"/>
      <c r="F2" s="19"/>
    </row>
    <row r="3" spans="1:6" ht="13.5" thickBot="1" x14ac:dyDescent="0.25">
      <c r="A3" t="s">
        <v>28</v>
      </c>
    </row>
    <row r="4" spans="1:6" ht="14.25" thickTop="1" thickBot="1" x14ac:dyDescent="0.25">
      <c r="A4" s="4" t="s">
        <v>0</v>
      </c>
      <c r="C4" s="23">
        <v>28109.286</v>
      </c>
      <c r="D4" s="24">
        <v>2.806273</v>
      </c>
    </row>
    <row r="5" spans="1:6" ht="13.5" thickTop="1" x14ac:dyDescent="0.2">
      <c r="A5" s="27" t="s">
        <v>34</v>
      </c>
      <c r="B5" s="20"/>
      <c r="C5" s="28">
        <v>-9.5</v>
      </c>
      <c r="D5" s="20" t="s">
        <v>35</v>
      </c>
    </row>
    <row r="6" spans="1:6" x14ac:dyDescent="0.2">
      <c r="A6" s="4" t="s">
        <v>1</v>
      </c>
    </row>
    <row r="7" spans="1:6" x14ac:dyDescent="0.2">
      <c r="A7" t="s">
        <v>2</v>
      </c>
      <c r="C7" s="19">
        <f>C4</f>
        <v>28109.286</v>
      </c>
    </row>
    <row r="8" spans="1:6" x14ac:dyDescent="0.2">
      <c r="A8" t="s">
        <v>3</v>
      </c>
      <c r="C8" s="19">
        <f>D4</f>
        <v>2.806273</v>
      </c>
    </row>
    <row r="9" spans="1:6" x14ac:dyDescent="0.2">
      <c r="A9" s="67" t="s">
        <v>139</v>
      </c>
      <c r="B9" s="68">
        <v>36</v>
      </c>
      <c r="C9" s="69" t="str">
        <f>"F"&amp;B9</f>
        <v>F36</v>
      </c>
      <c r="D9" s="42" t="str">
        <f>"G"&amp;B9</f>
        <v>G36</v>
      </c>
    </row>
    <row r="10" spans="1:6" ht="13.5" thickBot="1" x14ac:dyDescent="0.25">
      <c r="A10" s="20"/>
      <c r="B10" s="20"/>
      <c r="C10" s="3" t="s">
        <v>19</v>
      </c>
      <c r="D10" s="3" t="s">
        <v>20</v>
      </c>
      <c r="E10" s="20"/>
    </row>
    <row r="11" spans="1:6" x14ac:dyDescent="0.2">
      <c r="A11" s="20" t="s">
        <v>15</v>
      </c>
      <c r="B11" s="20"/>
      <c r="C11" s="70">
        <f ca="1">INTERCEPT(INDIRECT($D$9):G978,INDIRECT($C$9):F978)</f>
        <v>0.48162842594423927</v>
      </c>
      <c r="D11" s="2"/>
      <c r="E11" s="20"/>
    </row>
    <row r="12" spans="1:6" x14ac:dyDescent="0.2">
      <c r="A12" s="20" t="s">
        <v>16</v>
      </c>
      <c r="B12" s="20"/>
      <c r="C12" s="70">
        <f ca="1">SLOPE(INDIRECT($D$9):G978,INDIRECT($C$9):F978)</f>
        <v>-7.7212799379000553E-5</v>
      </c>
      <c r="D12" s="2"/>
      <c r="E12" s="20"/>
    </row>
    <row r="13" spans="1:6" x14ac:dyDescent="0.2">
      <c r="A13" s="20" t="s">
        <v>18</v>
      </c>
      <c r="B13" s="20"/>
      <c r="C13" s="2" t="s">
        <v>13</v>
      </c>
    </row>
    <row r="14" spans="1:6" x14ac:dyDescent="0.2">
      <c r="A14" s="20"/>
      <c r="B14" s="20"/>
      <c r="C14" s="20"/>
    </row>
    <row r="15" spans="1:6" x14ac:dyDescent="0.2">
      <c r="A15" s="29" t="s">
        <v>17</v>
      </c>
      <c r="B15" s="20"/>
      <c r="C15" s="30">
        <f ca="1">(C7+C11)+(C8+C12)*INT(MAX(F21:F3533))</f>
        <v>56166.113108857753</v>
      </c>
      <c r="E15" s="31" t="s">
        <v>46</v>
      </c>
      <c r="F15" s="28">
        <v>1</v>
      </c>
    </row>
    <row r="16" spans="1:6" x14ac:dyDescent="0.2">
      <c r="A16" s="21" t="s">
        <v>4</v>
      </c>
      <c r="B16" s="20"/>
      <c r="C16" s="33">
        <f ca="1">+C8+C12</f>
        <v>2.8061957872006209</v>
      </c>
      <c r="E16" s="31" t="s">
        <v>36</v>
      </c>
      <c r="F16" s="32">
        <f ca="1">NOW()+15018.5+$C$5/24</f>
        <v>60340.706592129631</v>
      </c>
    </row>
    <row r="17" spans="1:17" ht="13.5" thickBot="1" x14ac:dyDescent="0.25">
      <c r="A17" s="31" t="s">
        <v>33</v>
      </c>
      <c r="B17" s="20"/>
      <c r="C17" s="20">
        <f>COUNT(C21:C2191)</f>
        <v>22</v>
      </c>
      <c r="E17" s="31" t="s">
        <v>47</v>
      </c>
      <c r="F17" s="32">
        <f ca="1">ROUND(2*(F16-$C$7)/$C$8,0)/2+F15</f>
        <v>11486.5</v>
      </c>
    </row>
    <row r="18" spans="1:17" ht="14.25" thickTop="1" thickBot="1" x14ac:dyDescent="0.25">
      <c r="A18" s="21" t="s">
        <v>5</v>
      </c>
      <c r="B18" s="20"/>
      <c r="C18" s="35">
        <f ca="1">+C15</f>
        <v>56166.113108857753</v>
      </c>
      <c r="D18" s="36">
        <f ca="1">+C16</f>
        <v>2.8061957872006209</v>
      </c>
      <c r="E18" s="31" t="s">
        <v>37</v>
      </c>
      <c r="F18" s="42">
        <f ca="1">ROUND(2*(F16-$C$15)/$C$16,0)/2+F15</f>
        <v>1488.5</v>
      </c>
    </row>
    <row r="19" spans="1:17" ht="13.5" thickTop="1" x14ac:dyDescent="0.2">
      <c r="E19" s="31" t="s">
        <v>38</v>
      </c>
      <c r="F19" s="34">
        <f ca="1">+$C$15+$C$16*F18-15018.5-$C$5/24</f>
        <v>45325.03137143921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55</v>
      </c>
      <c r="I20" s="6" t="s">
        <v>58</v>
      </c>
      <c r="J20" s="6" t="s">
        <v>52</v>
      </c>
      <c r="K20" s="6" t="s">
        <v>50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x14ac:dyDescent="0.2">
      <c r="A21" s="57" t="s">
        <v>64</v>
      </c>
      <c r="B21" s="63" t="s">
        <v>40</v>
      </c>
      <c r="C21" s="57">
        <v>25530.321</v>
      </c>
      <c r="D21" s="57" t="s">
        <v>58</v>
      </c>
      <c r="E21">
        <f t="shared" ref="E21:E42" si="0">+(C21-C$7)/C$8</f>
        <v>-919.00004026693057</v>
      </c>
      <c r="F21">
        <f t="shared" ref="F21:F42" si="1">ROUND(2*E21,0)/2</f>
        <v>-919</v>
      </c>
      <c r="G21">
        <f>C21-($C$7+$C$8*$F21)</f>
        <v>-1.1299999823677354E-4</v>
      </c>
      <c r="H21">
        <f>+G21</f>
        <v>-1.1299999823677354E-4</v>
      </c>
      <c r="O21">
        <f ca="1">+C$11+C$12*$F21</f>
        <v>0.55258698857354083</v>
      </c>
      <c r="Q21" s="1">
        <f t="shared" ref="Q21:Q42" si="2">+C21-15018.5</f>
        <v>10511.821</v>
      </c>
    </row>
    <row r="22" spans="1:17" x14ac:dyDescent="0.2">
      <c r="A22" s="57" t="s">
        <v>64</v>
      </c>
      <c r="B22" s="63" t="s">
        <v>40</v>
      </c>
      <c r="C22" s="57">
        <v>26178.504000000001</v>
      </c>
      <c r="D22" s="57" t="s">
        <v>58</v>
      </c>
      <c r="E22">
        <f t="shared" si="0"/>
        <v>-688.02358145483322</v>
      </c>
      <c r="F22">
        <f t="shared" si="1"/>
        <v>-688</v>
      </c>
      <c r="G22">
        <f>C22-($C$7+$C$8*$F22)</f>
        <v>-6.6176000000268687E-2</v>
      </c>
      <c r="H22">
        <f>+G22</f>
        <v>-6.6176000000268687E-2</v>
      </c>
      <c r="O22">
        <f ca="1">+C$11+C$12*$F22</f>
        <v>0.53475083191699169</v>
      </c>
      <c r="Q22" s="1">
        <f t="shared" si="2"/>
        <v>11160.004000000001</v>
      </c>
    </row>
    <row r="23" spans="1:17" x14ac:dyDescent="0.2">
      <c r="A23" s="56" t="s">
        <v>64</v>
      </c>
      <c r="B23" s="59" t="s">
        <v>40</v>
      </c>
      <c r="C23" s="56">
        <v>28095.329000000002</v>
      </c>
      <c r="D23" s="56" t="s">
        <v>58</v>
      </c>
      <c r="E23">
        <f t="shared" si="0"/>
        <v>-4.973500439906779</v>
      </c>
      <c r="F23">
        <f t="shared" si="1"/>
        <v>-5</v>
      </c>
      <c r="G23">
        <f>C23-($C$7+$C$8*$F23)</f>
        <v>7.436500000039814E-2</v>
      </c>
      <c r="H23">
        <f>+G23</f>
        <v>7.436500000039814E-2</v>
      </c>
      <c r="O23">
        <f ca="1">+C$11+C$12*$F23</f>
        <v>0.48201448994113427</v>
      </c>
      <c r="Q23" s="1">
        <f t="shared" si="2"/>
        <v>13076.829000000002</v>
      </c>
    </row>
    <row r="24" spans="1:17" x14ac:dyDescent="0.2">
      <c r="A24" t="s">
        <v>27</v>
      </c>
      <c r="C24" s="26">
        <f>C$4</f>
        <v>28109.286</v>
      </c>
      <c r="D24" s="26"/>
      <c r="E24">
        <f t="shared" si="0"/>
        <v>0</v>
      </c>
      <c r="F24">
        <f t="shared" si="1"/>
        <v>0</v>
      </c>
      <c r="H24">
        <v>0</v>
      </c>
      <c r="Q24" s="1">
        <f t="shared" si="2"/>
        <v>13090.786</v>
      </c>
    </row>
    <row r="25" spans="1:17" x14ac:dyDescent="0.2">
      <c r="A25" s="56" t="s">
        <v>64</v>
      </c>
      <c r="B25" s="58" t="s">
        <v>40</v>
      </c>
      <c r="C25" s="56">
        <v>28109.328000000001</v>
      </c>
      <c r="D25" s="56" t="s">
        <v>58</v>
      </c>
      <c r="E25">
        <f t="shared" si="0"/>
        <v>1.4966469763020407E-2</v>
      </c>
      <c r="F25">
        <f t="shared" si="1"/>
        <v>0</v>
      </c>
      <c r="G25">
        <f t="shared" ref="G25:G42" si="3">C25-($C$7+$C$8*$F25)</f>
        <v>4.2000000001280569E-2</v>
      </c>
      <c r="H25">
        <f t="shared" ref="H25:H35" si="4">+G25</f>
        <v>4.2000000001280569E-2</v>
      </c>
      <c r="O25">
        <f t="shared" ref="O25:O42" ca="1" si="5">+C$11+C$12*$F25</f>
        <v>0.48162842594423927</v>
      </c>
      <c r="Q25" s="1">
        <f t="shared" si="2"/>
        <v>13090.828000000001</v>
      </c>
    </row>
    <row r="26" spans="1:17" x14ac:dyDescent="0.2">
      <c r="A26" s="56" t="s">
        <v>64</v>
      </c>
      <c r="B26" s="58" t="s">
        <v>40</v>
      </c>
      <c r="C26" s="56">
        <v>28280.554</v>
      </c>
      <c r="D26" s="56" t="s">
        <v>58</v>
      </c>
      <c r="E26">
        <f t="shared" si="0"/>
        <v>61.030412935591094</v>
      </c>
      <c r="F26">
        <f t="shared" si="1"/>
        <v>61</v>
      </c>
      <c r="G26">
        <f t="shared" si="3"/>
        <v>8.5347000000183471E-2</v>
      </c>
      <c r="H26">
        <f t="shared" si="4"/>
        <v>8.5347000000183471E-2</v>
      </c>
      <c r="O26">
        <f t="shared" ca="1" si="5"/>
        <v>0.47691844518212023</v>
      </c>
      <c r="Q26" s="1">
        <f t="shared" si="2"/>
        <v>13262.054</v>
      </c>
    </row>
    <row r="27" spans="1:17" x14ac:dyDescent="0.2">
      <c r="A27" s="57" t="s">
        <v>64</v>
      </c>
      <c r="B27" s="63" t="s">
        <v>40</v>
      </c>
      <c r="C27" s="56">
        <v>28308.488000000001</v>
      </c>
      <c r="D27" s="57" t="s">
        <v>58</v>
      </c>
      <c r="E27">
        <f t="shared" si="0"/>
        <v>70.984540705769234</v>
      </c>
      <c r="F27">
        <f t="shared" si="1"/>
        <v>71</v>
      </c>
      <c r="G27">
        <f t="shared" si="3"/>
        <v>-4.3383000000176253E-2</v>
      </c>
      <c r="H27">
        <f t="shared" si="4"/>
        <v>-4.3383000000176253E-2</v>
      </c>
      <c r="O27">
        <f t="shared" ca="1" si="5"/>
        <v>0.47614631718833023</v>
      </c>
      <c r="Q27" s="1">
        <f t="shared" si="2"/>
        <v>13289.988000000001</v>
      </c>
    </row>
    <row r="28" spans="1:17" x14ac:dyDescent="0.2">
      <c r="A28" s="57" t="s">
        <v>64</v>
      </c>
      <c r="B28" s="63" t="s">
        <v>40</v>
      </c>
      <c r="C28" s="56">
        <v>28367.503000000001</v>
      </c>
      <c r="D28" s="56" t="s">
        <v>58</v>
      </c>
      <c r="E28">
        <f t="shared" si="0"/>
        <v>92.014212444762336</v>
      </c>
      <c r="F28">
        <f t="shared" si="1"/>
        <v>92</v>
      </c>
      <c r="G28">
        <f t="shared" si="3"/>
        <v>3.9884000001620734E-2</v>
      </c>
      <c r="H28">
        <f t="shared" si="4"/>
        <v>3.9884000001620734E-2</v>
      </c>
      <c r="O28">
        <f t="shared" ca="1" si="5"/>
        <v>0.47452484840137121</v>
      </c>
      <c r="Q28" s="1">
        <f t="shared" si="2"/>
        <v>13349.003000000001</v>
      </c>
    </row>
    <row r="29" spans="1:17" x14ac:dyDescent="0.2">
      <c r="A29" s="61" t="s">
        <v>64</v>
      </c>
      <c r="B29" s="62" t="s">
        <v>40</v>
      </c>
      <c r="C29" s="61">
        <v>28426.366999999998</v>
      </c>
      <c r="D29" s="61" t="s">
        <v>58</v>
      </c>
      <c r="E29">
        <f t="shared" si="0"/>
        <v>112.99007616151326</v>
      </c>
      <c r="F29">
        <f t="shared" si="1"/>
        <v>113</v>
      </c>
      <c r="G29">
        <f t="shared" si="3"/>
        <v>-2.7849000001879176E-2</v>
      </c>
      <c r="H29">
        <f t="shared" si="4"/>
        <v>-2.7849000001879176E-2</v>
      </c>
      <c r="O29">
        <f t="shared" ca="1" si="5"/>
        <v>0.4729033796144122</v>
      </c>
      <c r="Q29" s="1">
        <f t="shared" si="2"/>
        <v>13407.866999999998</v>
      </c>
    </row>
    <row r="30" spans="1:17" x14ac:dyDescent="0.2">
      <c r="A30" s="64" t="s">
        <v>64</v>
      </c>
      <c r="B30" s="65" t="s">
        <v>40</v>
      </c>
      <c r="C30" s="66">
        <v>28656.528999999999</v>
      </c>
      <c r="D30" s="66" t="s">
        <v>58</v>
      </c>
      <c r="E30">
        <f t="shared" si="0"/>
        <v>195.00704314940086</v>
      </c>
      <c r="F30">
        <f t="shared" si="1"/>
        <v>195</v>
      </c>
      <c r="G30">
        <f t="shared" si="3"/>
        <v>1.976499999727821E-2</v>
      </c>
      <c r="H30">
        <f t="shared" si="4"/>
        <v>1.976499999727821E-2</v>
      </c>
      <c r="O30">
        <f t="shared" ca="1" si="5"/>
        <v>0.46657193006533415</v>
      </c>
      <c r="Q30" s="1">
        <f t="shared" si="2"/>
        <v>13638.028999999999</v>
      </c>
    </row>
    <row r="31" spans="1:17" x14ac:dyDescent="0.2">
      <c r="A31" s="64" t="s">
        <v>64</v>
      </c>
      <c r="B31" s="65" t="s">
        <v>40</v>
      </c>
      <c r="C31" s="66">
        <v>28774.394</v>
      </c>
      <c r="D31" s="66" t="s">
        <v>58</v>
      </c>
      <c r="E31">
        <f t="shared" si="0"/>
        <v>237.00758978189228</v>
      </c>
      <c r="F31">
        <f t="shared" si="1"/>
        <v>237</v>
      </c>
      <c r="G31">
        <f t="shared" si="3"/>
        <v>2.1298999999999069E-2</v>
      </c>
      <c r="H31">
        <f t="shared" si="4"/>
        <v>2.1298999999999069E-2</v>
      </c>
      <c r="O31">
        <f t="shared" ca="1" si="5"/>
        <v>0.46332899249141613</v>
      </c>
      <c r="Q31" s="1">
        <f t="shared" si="2"/>
        <v>13755.894</v>
      </c>
    </row>
    <row r="32" spans="1:17" x14ac:dyDescent="0.2">
      <c r="A32" s="64" t="s">
        <v>64</v>
      </c>
      <c r="B32" s="65" t="s">
        <v>40</v>
      </c>
      <c r="C32" s="60">
        <v>28847.327000000001</v>
      </c>
      <c r="D32" s="60" t="s">
        <v>58</v>
      </c>
      <c r="E32">
        <f t="shared" si="0"/>
        <v>262.99686452458513</v>
      </c>
      <c r="F32">
        <f t="shared" si="1"/>
        <v>263</v>
      </c>
      <c r="G32">
        <f t="shared" si="3"/>
        <v>-8.7989999992714729E-3</v>
      </c>
      <c r="H32">
        <f t="shared" si="4"/>
        <v>-8.7989999992714729E-3</v>
      </c>
      <c r="O32">
        <f t="shared" ca="1" si="5"/>
        <v>0.46132145970756211</v>
      </c>
      <c r="Q32" s="1">
        <f t="shared" si="2"/>
        <v>13828.827000000001</v>
      </c>
    </row>
    <row r="33" spans="1:17" x14ac:dyDescent="0.2">
      <c r="A33" s="56" t="s">
        <v>64</v>
      </c>
      <c r="B33" s="59" t="s">
        <v>40</v>
      </c>
      <c r="C33" s="60">
        <v>29192.396000000001</v>
      </c>
      <c r="D33" s="60" t="s">
        <v>58</v>
      </c>
      <c r="E33">
        <f t="shared" si="0"/>
        <v>385.96031106025697</v>
      </c>
      <c r="F33">
        <f t="shared" si="1"/>
        <v>386</v>
      </c>
      <c r="G33">
        <f t="shared" si="3"/>
        <v>-0.11137799999778508</v>
      </c>
      <c r="H33">
        <f t="shared" si="4"/>
        <v>-0.11137799999778508</v>
      </c>
      <c r="O33">
        <f t="shared" ca="1" si="5"/>
        <v>0.45182428538394503</v>
      </c>
      <c r="Q33" s="1">
        <f t="shared" si="2"/>
        <v>14173.896000000001</v>
      </c>
    </row>
    <row r="34" spans="1:17" x14ac:dyDescent="0.2">
      <c r="A34" s="56" t="s">
        <v>64</v>
      </c>
      <c r="B34" s="59" t="s">
        <v>40</v>
      </c>
      <c r="C34" s="60">
        <v>29195.350999999999</v>
      </c>
      <c r="D34" s="60" t="s">
        <v>58</v>
      </c>
      <c r="E34">
        <f t="shared" si="0"/>
        <v>387.01330911140815</v>
      </c>
      <c r="F34">
        <f t="shared" si="1"/>
        <v>387</v>
      </c>
      <c r="G34">
        <f t="shared" si="3"/>
        <v>3.7348999998357613E-2</v>
      </c>
      <c r="H34">
        <f t="shared" si="4"/>
        <v>3.7348999998357613E-2</v>
      </c>
      <c r="O34">
        <f t="shared" ca="1" si="5"/>
        <v>0.45174707258456603</v>
      </c>
      <c r="Q34" s="1">
        <f t="shared" si="2"/>
        <v>14176.850999999999</v>
      </c>
    </row>
    <row r="35" spans="1:17" x14ac:dyDescent="0.2">
      <c r="A35" s="56" t="s">
        <v>64</v>
      </c>
      <c r="B35" s="59" t="s">
        <v>40</v>
      </c>
      <c r="C35" s="60">
        <v>29223.312999999998</v>
      </c>
      <c r="D35" s="60" t="s">
        <v>58</v>
      </c>
      <c r="E35">
        <f t="shared" si="0"/>
        <v>396.97741452809407</v>
      </c>
      <c r="F35">
        <f t="shared" si="1"/>
        <v>397</v>
      </c>
      <c r="G35">
        <f t="shared" si="3"/>
        <v>-6.3381000003573718E-2</v>
      </c>
      <c r="H35">
        <f t="shared" si="4"/>
        <v>-6.3381000003573718E-2</v>
      </c>
      <c r="O35">
        <f t="shared" ca="1" si="5"/>
        <v>0.45097494459077603</v>
      </c>
      <c r="Q35" s="1">
        <f t="shared" si="2"/>
        <v>14204.812999999998</v>
      </c>
    </row>
    <row r="36" spans="1:17" x14ac:dyDescent="0.2">
      <c r="A36" t="s">
        <v>31</v>
      </c>
      <c r="C36" s="26">
        <v>50702.452700000002</v>
      </c>
      <c r="D36" s="26"/>
      <c r="E36">
        <f t="shared" si="0"/>
        <v>8050.9511013361853</v>
      </c>
      <c r="F36">
        <f t="shared" si="1"/>
        <v>8051</v>
      </c>
      <c r="G36">
        <f t="shared" si="3"/>
        <v>-0.13722299999790266</v>
      </c>
      <c r="J36">
        <f>+G36</f>
        <v>-0.13722299999790266</v>
      </c>
      <c r="O36">
        <f t="shared" ca="1" si="5"/>
        <v>-0.14001182185609418</v>
      </c>
      <c r="Q36" s="1">
        <f t="shared" si="2"/>
        <v>35683.952700000002</v>
      </c>
    </row>
    <row r="37" spans="1:17" x14ac:dyDescent="0.2">
      <c r="A37" s="18" t="s">
        <v>41</v>
      </c>
      <c r="B37" s="38" t="s">
        <v>40</v>
      </c>
      <c r="C37" s="11">
        <v>51833.329559999998</v>
      </c>
      <c r="D37" s="11">
        <v>2.3E-3</v>
      </c>
      <c r="E37">
        <f t="shared" si="0"/>
        <v>8453.9328711069793</v>
      </c>
      <c r="F37">
        <f t="shared" si="1"/>
        <v>8454</v>
      </c>
      <c r="G37">
        <f t="shared" si="3"/>
        <v>-0.18838200000027427</v>
      </c>
      <c r="K37">
        <f>+G37</f>
        <v>-0.18838200000027427</v>
      </c>
      <c r="O37">
        <f t="shared" ca="1" si="5"/>
        <v>-0.17112858000583142</v>
      </c>
      <c r="Q37" s="1">
        <f t="shared" si="2"/>
        <v>36814.829559999998</v>
      </c>
    </row>
    <row r="38" spans="1:17" x14ac:dyDescent="0.2">
      <c r="A38" s="25" t="s">
        <v>32</v>
      </c>
      <c r="B38" s="16"/>
      <c r="C38" s="26">
        <v>52557.345200000003</v>
      </c>
      <c r="D38" s="26">
        <v>1.8E-3</v>
      </c>
      <c r="E38">
        <f t="shared" si="0"/>
        <v>8711.931875480399</v>
      </c>
      <c r="F38">
        <f t="shared" si="1"/>
        <v>8712</v>
      </c>
      <c r="G38">
        <f t="shared" si="3"/>
        <v>-0.19117600000026869</v>
      </c>
      <c r="J38">
        <f>+G38</f>
        <v>-0.19117600000026869</v>
      </c>
      <c r="O38">
        <f t="shared" ca="1" si="5"/>
        <v>-0.19104948224561358</v>
      </c>
      <c r="Q38" s="1">
        <f t="shared" si="2"/>
        <v>37538.845200000003</v>
      </c>
    </row>
    <row r="39" spans="1:17" x14ac:dyDescent="0.2">
      <c r="A39" s="37" t="s">
        <v>39</v>
      </c>
      <c r="B39" s="2" t="s">
        <v>40</v>
      </c>
      <c r="C39" s="26">
        <v>53918.377</v>
      </c>
      <c r="D39" s="26">
        <v>5.0000000000000001E-3</v>
      </c>
      <c r="E39">
        <f t="shared" si="0"/>
        <v>9196.9280964467816</v>
      </c>
      <c r="F39">
        <f t="shared" si="1"/>
        <v>9197</v>
      </c>
      <c r="G39">
        <f t="shared" si="3"/>
        <v>-0.20178100000339327</v>
      </c>
      <c r="K39">
        <f>+G39</f>
        <v>-0.20178100000339327</v>
      </c>
      <c r="O39">
        <f t="shared" ca="1" si="5"/>
        <v>-0.22849768994442887</v>
      </c>
      <c r="Q39" s="1">
        <f t="shared" si="2"/>
        <v>38899.877</v>
      </c>
    </row>
    <row r="40" spans="1:17" x14ac:dyDescent="0.2">
      <c r="A40" s="39" t="s">
        <v>42</v>
      </c>
      <c r="B40" s="40" t="s">
        <v>40</v>
      </c>
      <c r="C40" s="41">
        <v>56132.432399999998</v>
      </c>
      <c r="D40" s="41">
        <v>3.5000000000000001E-3</v>
      </c>
      <c r="E40">
        <f t="shared" si="0"/>
        <v>9985.8946011311073</v>
      </c>
      <c r="F40">
        <f t="shared" si="1"/>
        <v>9986</v>
      </c>
      <c r="G40">
        <f t="shared" si="3"/>
        <v>-0.29577800000697607</v>
      </c>
      <c r="J40">
        <f>+G40</f>
        <v>-0.29577800000697607</v>
      </c>
      <c r="O40">
        <f t="shared" ca="1" si="5"/>
        <v>-0.28941858865446024</v>
      </c>
      <c r="Q40" s="1">
        <f t="shared" si="2"/>
        <v>41113.932399999998</v>
      </c>
    </row>
    <row r="41" spans="1:17" x14ac:dyDescent="0.2">
      <c r="A41" s="39" t="s">
        <v>43</v>
      </c>
      <c r="B41" s="40" t="s">
        <v>40</v>
      </c>
      <c r="C41" s="41">
        <v>56132.4424</v>
      </c>
      <c r="D41" s="41">
        <v>3.5000000000000001E-3</v>
      </c>
      <c r="E41">
        <f t="shared" si="0"/>
        <v>9985.8981645762906</v>
      </c>
      <c r="F41">
        <f t="shared" si="1"/>
        <v>9986</v>
      </c>
      <c r="G41">
        <f t="shared" si="3"/>
        <v>-0.2857780000049388</v>
      </c>
      <c r="J41">
        <f>+G41</f>
        <v>-0.2857780000049388</v>
      </c>
      <c r="O41">
        <f t="shared" ca="1" si="5"/>
        <v>-0.28941858865446024</v>
      </c>
      <c r="Q41" s="1">
        <f t="shared" si="2"/>
        <v>41113.9424</v>
      </c>
    </row>
    <row r="42" spans="1:17" x14ac:dyDescent="0.2">
      <c r="A42" s="39" t="s">
        <v>42</v>
      </c>
      <c r="B42" s="40" t="s">
        <v>44</v>
      </c>
      <c r="C42" s="41">
        <v>56167.506800000003</v>
      </c>
      <c r="D42" s="41">
        <v>2.3E-3</v>
      </c>
      <c r="E42">
        <f t="shared" si="0"/>
        <v>9998.3931712987305</v>
      </c>
      <c r="F42">
        <f t="shared" si="1"/>
        <v>9998.5</v>
      </c>
      <c r="G42">
        <f t="shared" si="3"/>
        <v>-0.29979049999383278</v>
      </c>
      <c r="J42">
        <f>+G42</f>
        <v>-0.29979049999383278</v>
      </c>
      <c r="O42">
        <f t="shared" ca="1" si="5"/>
        <v>-0.2903837486466978</v>
      </c>
      <c r="Q42" s="1">
        <f t="shared" si="2"/>
        <v>41149.006800000003</v>
      </c>
    </row>
    <row r="43" spans="1:17" x14ac:dyDescent="0.2">
      <c r="B43" s="2"/>
      <c r="C43" s="9"/>
      <c r="D43" s="10"/>
      <c r="Q43" s="1"/>
    </row>
    <row r="44" spans="1:17" x14ac:dyDescent="0.2">
      <c r="B44" s="2"/>
      <c r="C44" s="9"/>
      <c r="D44" s="10"/>
      <c r="Q44" s="1"/>
    </row>
    <row r="45" spans="1:17" x14ac:dyDescent="0.2">
      <c r="B45" s="2"/>
      <c r="C45" s="8"/>
      <c r="D45" s="7"/>
      <c r="Q45" s="1"/>
    </row>
    <row r="46" spans="1:17" x14ac:dyDescent="0.2">
      <c r="B46" s="2"/>
      <c r="C46" s="8"/>
      <c r="D46" s="7"/>
      <c r="Q46" s="1"/>
    </row>
    <row r="47" spans="1:17" x14ac:dyDescent="0.2">
      <c r="B47" s="2"/>
      <c r="C47" s="8"/>
      <c r="D47" s="7"/>
      <c r="Q47" s="1"/>
    </row>
    <row r="48" spans="1:17" x14ac:dyDescent="0.2">
      <c r="B48" s="2"/>
      <c r="C48" s="8"/>
      <c r="D48" s="7"/>
      <c r="Q48" s="1"/>
    </row>
    <row r="49" spans="1:17" x14ac:dyDescent="0.2">
      <c r="B49" s="2"/>
      <c r="C49" s="8"/>
      <c r="D49" s="7"/>
      <c r="Q49" s="1"/>
    </row>
    <row r="50" spans="1:17" x14ac:dyDescent="0.2">
      <c r="B50" s="2"/>
      <c r="C50" s="8"/>
      <c r="D50" s="7"/>
      <c r="Q50" s="1"/>
    </row>
    <row r="51" spans="1:17" x14ac:dyDescent="0.2">
      <c r="B51" s="2"/>
      <c r="Q51" s="1"/>
    </row>
    <row r="52" spans="1:17" x14ac:dyDescent="0.2">
      <c r="B52" s="2"/>
      <c r="Q52" s="1"/>
    </row>
    <row r="53" spans="1:17" x14ac:dyDescent="0.2">
      <c r="A53" s="11"/>
      <c r="B53" s="2"/>
      <c r="C53" s="12"/>
      <c r="D53" s="12"/>
      <c r="Q53" s="1"/>
    </row>
    <row r="54" spans="1:17" x14ac:dyDescent="0.2">
      <c r="A54" s="11"/>
      <c r="B54" s="13"/>
      <c r="C54" s="14"/>
      <c r="D54" s="14"/>
      <c r="Q54" s="1"/>
    </row>
    <row r="55" spans="1:17" x14ac:dyDescent="0.2">
      <c r="A55" s="11"/>
      <c r="B55" s="13"/>
      <c r="C55" s="14"/>
      <c r="D55" s="14"/>
      <c r="Q55" s="1"/>
    </row>
    <row r="56" spans="1:17" x14ac:dyDescent="0.2">
      <c r="A56" s="11"/>
      <c r="B56" s="13"/>
      <c r="C56" s="14"/>
      <c r="D56" s="14"/>
      <c r="Q56" s="1"/>
    </row>
    <row r="57" spans="1:17" x14ac:dyDescent="0.2">
      <c r="A57" s="11"/>
      <c r="B57" s="13"/>
      <c r="C57" s="14"/>
      <c r="D57" s="14"/>
      <c r="Q57" s="1"/>
    </row>
    <row r="58" spans="1:17" x14ac:dyDescent="0.2">
      <c r="A58" s="11"/>
      <c r="B58" s="13"/>
      <c r="C58" s="14"/>
      <c r="D58" s="14"/>
      <c r="Q58" s="1"/>
    </row>
    <row r="59" spans="1:17" x14ac:dyDescent="0.2">
      <c r="A59" s="15"/>
      <c r="B59" s="13"/>
      <c r="C59" s="16"/>
      <c r="D59" s="16"/>
      <c r="Q59" s="1"/>
    </row>
    <row r="60" spans="1:17" x14ac:dyDescent="0.2">
      <c r="A60" s="15"/>
      <c r="B60" s="13"/>
      <c r="C60" s="16"/>
      <c r="D60" s="16"/>
      <c r="Q60" s="1"/>
    </row>
    <row r="61" spans="1:17" x14ac:dyDescent="0.2">
      <c r="A61" s="17"/>
      <c r="B61" s="13"/>
      <c r="C61" s="16"/>
      <c r="D61" s="16"/>
      <c r="Q61" s="1"/>
    </row>
    <row r="62" spans="1:17" x14ac:dyDescent="0.2">
      <c r="A62" s="18"/>
      <c r="B62" s="2"/>
      <c r="C62" s="12"/>
      <c r="D62" s="12"/>
      <c r="Q62" s="1"/>
    </row>
    <row r="63" spans="1:17" x14ac:dyDescent="0.2">
      <c r="A63" s="18"/>
      <c r="B63" s="13"/>
      <c r="C63" s="14"/>
      <c r="D63" s="14"/>
      <c r="Q63" s="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topLeftCell="A8" workbookViewId="0">
      <selection activeCell="A18" sqref="A18:D31"/>
    </sheetView>
  </sheetViews>
  <sheetFormatPr defaultRowHeight="12.75" x14ac:dyDescent="0.2"/>
  <cols>
    <col min="1" max="1" width="19.7109375" style="26" customWidth="1"/>
    <col min="2" max="2" width="4.42578125" style="20" customWidth="1"/>
    <col min="3" max="3" width="12.7109375" style="26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26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43" t="s">
        <v>48</v>
      </c>
      <c r="I1" s="44" t="s">
        <v>49</v>
      </c>
      <c r="J1" s="45" t="s">
        <v>50</v>
      </c>
    </row>
    <row r="2" spans="1:16" x14ac:dyDescent="0.2">
      <c r="I2" s="46" t="s">
        <v>51</v>
      </c>
      <c r="J2" s="47" t="s">
        <v>52</v>
      </c>
    </row>
    <row r="3" spans="1:16" x14ac:dyDescent="0.2">
      <c r="A3" s="48" t="s">
        <v>53</v>
      </c>
      <c r="I3" s="46" t="s">
        <v>54</v>
      </c>
      <c r="J3" s="47" t="s">
        <v>55</v>
      </c>
    </row>
    <row r="4" spans="1:16" x14ac:dyDescent="0.2">
      <c r="I4" s="46" t="s">
        <v>56</v>
      </c>
      <c r="J4" s="47" t="s">
        <v>55</v>
      </c>
    </row>
    <row r="5" spans="1:16" ht="13.5" thickBot="1" x14ac:dyDescent="0.25">
      <c r="I5" s="49" t="s">
        <v>57</v>
      </c>
      <c r="J5" s="50" t="s">
        <v>58</v>
      </c>
    </row>
    <row r="10" spans="1:16" ht="13.5" thickBot="1" x14ac:dyDescent="0.25"/>
    <row r="11" spans="1:16" ht="12.75" customHeight="1" thickBot="1" x14ac:dyDescent="0.25">
      <c r="A11" s="26" t="str">
        <f t="shared" ref="A11:A31" si="0">P11</f>
        <v>BAVM 117 </v>
      </c>
      <c r="B11" s="2" t="str">
        <f t="shared" ref="B11:B31" si="1">IF(H11=INT(H11),"I","II")</f>
        <v>II</v>
      </c>
      <c r="C11" s="26">
        <f t="shared" ref="C11:C31" si="2">1*G11</f>
        <v>50702.452700000002</v>
      </c>
      <c r="D11" s="20" t="str">
        <f t="shared" ref="D11:D31" si="3">VLOOKUP(F11,I$1:J$5,2,FALSE)</f>
        <v>vis</v>
      </c>
      <c r="E11" s="51">
        <f>VLOOKUP(C11,Active!C$21:E$973,3,FALSE)</f>
        <v>8050.9511013361853</v>
      </c>
      <c r="F11" s="2" t="s">
        <v>57</v>
      </c>
      <c r="G11" s="20" t="str">
        <f t="shared" ref="G11:G31" si="4">MID(I11,3,LEN(I11)-3)</f>
        <v>50702.4527</v>
      </c>
      <c r="H11" s="26">
        <f t="shared" ref="H11:H31" si="5">1*K11</f>
        <v>8051.5</v>
      </c>
      <c r="I11" s="52" t="s">
        <v>104</v>
      </c>
      <c r="J11" s="53" t="s">
        <v>105</v>
      </c>
      <c r="K11" s="52">
        <v>8051.5</v>
      </c>
      <c r="L11" s="52" t="s">
        <v>106</v>
      </c>
      <c r="M11" s="53" t="s">
        <v>107</v>
      </c>
      <c r="N11" s="53" t="s">
        <v>108</v>
      </c>
      <c r="O11" s="54" t="s">
        <v>109</v>
      </c>
      <c r="P11" s="55" t="s">
        <v>110</v>
      </c>
    </row>
    <row r="12" spans="1:16" ht="12.75" customHeight="1" thickBot="1" x14ac:dyDescent="0.25">
      <c r="A12" s="26" t="str">
        <f t="shared" si="0"/>
        <v>OEJV 0074 </v>
      </c>
      <c r="B12" s="2" t="str">
        <f t="shared" si="1"/>
        <v>II</v>
      </c>
      <c r="C12" s="26">
        <f t="shared" si="2"/>
        <v>51833.329559999998</v>
      </c>
      <c r="D12" s="20" t="str">
        <f t="shared" si="3"/>
        <v>vis</v>
      </c>
      <c r="E12" s="51">
        <f>VLOOKUP(C12,Active!C$21:E$973,3,FALSE)</f>
        <v>8453.9328711069793</v>
      </c>
      <c r="F12" s="2" t="s">
        <v>57</v>
      </c>
      <c r="G12" s="20" t="str">
        <f t="shared" si="4"/>
        <v>51833.32956</v>
      </c>
      <c r="H12" s="26">
        <f t="shared" si="5"/>
        <v>8454.5</v>
      </c>
      <c r="I12" s="52" t="s">
        <v>111</v>
      </c>
      <c r="J12" s="53" t="s">
        <v>112</v>
      </c>
      <c r="K12" s="52">
        <v>8454.5</v>
      </c>
      <c r="L12" s="52" t="s">
        <v>113</v>
      </c>
      <c r="M12" s="53" t="s">
        <v>114</v>
      </c>
      <c r="N12" s="53" t="s">
        <v>108</v>
      </c>
      <c r="O12" s="54" t="s">
        <v>115</v>
      </c>
      <c r="P12" s="55" t="s">
        <v>116</v>
      </c>
    </row>
    <row r="13" spans="1:16" ht="12.75" customHeight="1" thickBot="1" x14ac:dyDescent="0.25">
      <c r="A13" s="26" t="str">
        <f t="shared" si="0"/>
        <v>BAVM 158 </v>
      </c>
      <c r="B13" s="2" t="str">
        <f t="shared" si="1"/>
        <v>II</v>
      </c>
      <c r="C13" s="26">
        <f t="shared" si="2"/>
        <v>52557.345200000003</v>
      </c>
      <c r="D13" s="20" t="str">
        <f t="shared" si="3"/>
        <v>vis</v>
      </c>
      <c r="E13" s="51">
        <f>VLOOKUP(C13,Active!C$21:E$973,3,FALSE)</f>
        <v>8711.931875480399</v>
      </c>
      <c r="F13" s="2" t="s">
        <v>57</v>
      </c>
      <c r="G13" s="20" t="str">
        <f t="shared" si="4"/>
        <v>52557.3452</v>
      </c>
      <c r="H13" s="26">
        <f t="shared" si="5"/>
        <v>8712.5</v>
      </c>
      <c r="I13" s="52" t="s">
        <v>117</v>
      </c>
      <c r="J13" s="53" t="s">
        <v>118</v>
      </c>
      <c r="K13" s="52">
        <v>8712.5</v>
      </c>
      <c r="L13" s="52" t="s">
        <v>119</v>
      </c>
      <c r="M13" s="53" t="s">
        <v>107</v>
      </c>
      <c r="N13" s="53" t="s">
        <v>108</v>
      </c>
      <c r="O13" s="54" t="s">
        <v>120</v>
      </c>
      <c r="P13" s="55" t="s">
        <v>121</v>
      </c>
    </row>
    <row r="14" spans="1:16" ht="12.75" customHeight="1" thickBot="1" x14ac:dyDescent="0.25">
      <c r="A14" s="26" t="str">
        <f t="shared" si="0"/>
        <v> BBS 133 (=IBVS 5781) </v>
      </c>
      <c r="B14" s="2" t="str">
        <f t="shared" si="1"/>
        <v>II</v>
      </c>
      <c r="C14" s="26">
        <f t="shared" si="2"/>
        <v>53918.377</v>
      </c>
      <c r="D14" s="20" t="str">
        <f t="shared" si="3"/>
        <v>vis</v>
      </c>
      <c r="E14" s="51">
        <f>VLOOKUP(C14,Active!C$21:E$973,3,FALSE)</f>
        <v>9196.9280964467816</v>
      </c>
      <c r="F14" s="2" t="s">
        <v>57</v>
      </c>
      <c r="G14" s="20" t="str">
        <f t="shared" si="4"/>
        <v>53918.377</v>
      </c>
      <c r="H14" s="26">
        <f t="shared" si="5"/>
        <v>9197.5</v>
      </c>
      <c r="I14" s="52" t="s">
        <v>122</v>
      </c>
      <c r="J14" s="53" t="s">
        <v>123</v>
      </c>
      <c r="K14" s="52">
        <v>9197.5</v>
      </c>
      <c r="L14" s="52" t="s">
        <v>124</v>
      </c>
      <c r="M14" s="53" t="s">
        <v>114</v>
      </c>
      <c r="N14" s="53" t="s">
        <v>57</v>
      </c>
      <c r="O14" s="54" t="s">
        <v>125</v>
      </c>
      <c r="P14" s="54" t="s">
        <v>126</v>
      </c>
    </row>
    <row r="15" spans="1:16" ht="12.75" customHeight="1" thickBot="1" x14ac:dyDescent="0.25">
      <c r="A15" s="26" t="str">
        <f t="shared" si="0"/>
        <v>BAVM 231 </v>
      </c>
      <c r="B15" s="2" t="str">
        <f t="shared" si="1"/>
        <v>II</v>
      </c>
      <c r="C15" s="26">
        <f t="shared" si="2"/>
        <v>56132.432399999998</v>
      </c>
      <c r="D15" s="20" t="str">
        <f t="shared" si="3"/>
        <v>vis</v>
      </c>
      <c r="E15" s="51">
        <f>VLOOKUP(C15,Active!C$21:E$973,3,FALSE)</f>
        <v>9985.8946011311073</v>
      </c>
      <c r="F15" s="2" t="s">
        <v>57</v>
      </c>
      <c r="G15" s="20" t="str">
        <f t="shared" si="4"/>
        <v>56132.4324</v>
      </c>
      <c r="H15" s="26">
        <f t="shared" si="5"/>
        <v>9986.5</v>
      </c>
      <c r="I15" s="52" t="s">
        <v>127</v>
      </c>
      <c r="J15" s="53" t="s">
        <v>128</v>
      </c>
      <c r="K15" s="52">
        <v>9986.5</v>
      </c>
      <c r="L15" s="52" t="s">
        <v>129</v>
      </c>
      <c r="M15" s="53" t="s">
        <v>114</v>
      </c>
      <c r="N15" s="53" t="s">
        <v>108</v>
      </c>
      <c r="O15" s="54" t="s">
        <v>130</v>
      </c>
      <c r="P15" s="55" t="s">
        <v>131</v>
      </c>
    </row>
    <row r="16" spans="1:16" ht="12.75" customHeight="1" thickBot="1" x14ac:dyDescent="0.25">
      <c r="A16" s="26" t="str">
        <f t="shared" si="0"/>
        <v>BAVM 228 </v>
      </c>
      <c r="B16" s="2" t="str">
        <f t="shared" si="1"/>
        <v>II</v>
      </c>
      <c r="C16" s="26">
        <f t="shared" si="2"/>
        <v>56132.4424</v>
      </c>
      <c r="D16" s="20" t="str">
        <f t="shared" si="3"/>
        <v>vis</v>
      </c>
      <c r="E16" s="51">
        <f>VLOOKUP(C16,Active!C$21:E$973,3,FALSE)</f>
        <v>9985.8981645762906</v>
      </c>
      <c r="F16" s="2" t="s">
        <v>57</v>
      </c>
      <c r="G16" s="20" t="str">
        <f t="shared" si="4"/>
        <v>56132.4424</v>
      </c>
      <c r="H16" s="26">
        <f t="shared" si="5"/>
        <v>9986.5</v>
      </c>
      <c r="I16" s="52" t="s">
        <v>132</v>
      </c>
      <c r="J16" s="53" t="s">
        <v>133</v>
      </c>
      <c r="K16" s="52">
        <v>9986.5</v>
      </c>
      <c r="L16" s="52" t="s">
        <v>134</v>
      </c>
      <c r="M16" s="53" t="s">
        <v>114</v>
      </c>
      <c r="N16" s="53" t="s">
        <v>108</v>
      </c>
      <c r="O16" s="54" t="s">
        <v>130</v>
      </c>
      <c r="P16" s="55" t="s">
        <v>135</v>
      </c>
    </row>
    <row r="17" spans="1:16" ht="12.75" customHeight="1" thickBot="1" x14ac:dyDescent="0.25">
      <c r="A17" s="26" t="str">
        <f t="shared" si="0"/>
        <v>BAVM 231 </v>
      </c>
      <c r="B17" s="2" t="str">
        <f t="shared" si="1"/>
        <v>I</v>
      </c>
      <c r="C17" s="26">
        <f t="shared" si="2"/>
        <v>56167.506800000003</v>
      </c>
      <c r="D17" s="20" t="str">
        <f t="shared" si="3"/>
        <v>vis</v>
      </c>
      <c r="E17" s="51">
        <f>VLOOKUP(C17,Active!C$21:E$973,3,FALSE)</f>
        <v>9998.3931712987305</v>
      </c>
      <c r="F17" s="2" t="s">
        <v>57</v>
      </c>
      <c r="G17" s="20" t="str">
        <f t="shared" si="4"/>
        <v>56167.5068</v>
      </c>
      <c r="H17" s="26">
        <f t="shared" si="5"/>
        <v>9999</v>
      </c>
      <c r="I17" s="52" t="s">
        <v>136</v>
      </c>
      <c r="J17" s="53" t="s">
        <v>137</v>
      </c>
      <c r="K17" s="52">
        <v>9999</v>
      </c>
      <c r="L17" s="52" t="s">
        <v>138</v>
      </c>
      <c r="M17" s="53" t="s">
        <v>114</v>
      </c>
      <c r="N17" s="53" t="s">
        <v>108</v>
      </c>
      <c r="O17" s="54" t="s">
        <v>130</v>
      </c>
      <c r="P17" s="55" t="s">
        <v>131</v>
      </c>
    </row>
    <row r="18" spans="1:16" ht="12.75" customHeight="1" thickBot="1" x14ac:dyDescent="0.25">
      <c r="A18" s="26" t="str">
        <f t="shared" si="0"/>
        <v> AAAN 11.5.44 </v>
      </c>
      <c r="B18" s="2" t="str">
        <f t="shared" si="1"/>
        <v>I</v>
      </c>
      <c r="C18" s="26">
        <f t="shared" si="2"/>
        <v>25530.321</v>
      </c>
      <c r="D18" s="20" t="str">
        <f t="shared" si="3"/>
        <v>vis</v>
      </c>
      <c r="E18" s="51">
        <f>VLOOKUP(C18,Active!C$21:E$973,3,FALSE)</f>
        <v>-919.00004026693057</v>
      </c>
      <c r="F18" s="2" t="s">
        <v>57</v>
      </c>
      <c r="G18" s="20" t="str">
        <f t="shared" si="4"/>
        <v>25530.321</v>
      </c>
      <c r="H18" s="26">
        <f t="shared" si="5"/>
        <v>-919</v>
      </c>
      <c r="I18" s="52" t="s">
        <v>59</v>
      </c>
      <c r="J18" s="53" t="s">
        <v>60</v>
      </c>
      <c r="K18" s="52">
        <v>-919</v>
      </c>
      <c r="L18" s="52" t="s">
        <v>61</v>
      </c>
      <c r="M18" s="53" t="s">
        <v>62</v>
      </c>
      <c r="N18" s="53"/>
      <c r="O18" s="54" t="s">
        <v>63</v>
      </c>
      <c r="P18" s="54" t="s">
        <v>64</v>
      </c>
    </row>
    <row r="19" spans="1:16" ht="12.75" customHeight="1" thickBot="1" x14ac:dyDescent="0.25">
      <c r="A19" s="26" t="str">
        <f t="shared" si="0"/>
        <v> AAAN 11.5.44 </v>
      </c>
      <c r="B19" s="2" t="str">
        <f t="shared" si="1"/>
        <v>I</v>
      </c>
      <c r="C19" s="26">
        <f t="shared" si="2"/>
        <v>26178.504000000001</v>
      </c>
      <c r="D19" s="20" t="str">
        <f t="shared" si="3"/>
        <v>vis</v>
      </c>
      <c r="E19" s="51">
        <f>VLOOKUP(C19,Active!C$21:E$973,3,FALSE)</f>
        <v>-688.02358145483322</v>
      </c>
      <c r="F19" s="2" t="s">
        <v>57</v>
      </c>
      <c r="G19" s="20" t="str">
        <f t="shared" si="4"/>
        <v>26178.504</v>
      </c>
      <c r="H19" s="26">
        <f t="shared" si="5"/>
        <v>-688</v>
      </c>
      <c r="I19" s="52" t="s">
        <v>65</v>
      </c>
      <c r="J19" s="53" t="s">
        <v>66</v>
      </c>
      <c r="K19" s="52">
        <v>-688</v>
      </c>
      <c r="L19" s="52" t="s">
        <v>67</v>
      </c>
      <c r="M19" s="53" t="s">
        <v>62</v>
      </c>
      <c r="N19" s="53"/>
      <c r="O19" s="54" t="s">
        <v>63</v>
      </c>
      <c r="P19" s="54" t="s">
        <v>64</v>
      </c>
    </row>
    <row r="20" spans="1:16" ht="12.75" customHeight="1" thickBot="1" x14ac:dyDescent="0.25">
      <c r="A20" s="26" t="str">
        <f t="shared" si="0"/>
        <v> AAAN 11.5.44 </v>
      </c>
      <c r="B20" s="2" t="str">
        <f t="shared" si="1"/>
        <v>I</v>
      </c>
      <c r="C20" s="26">
        <f t="shared" si="2"/>
        <v>28095.329000000002</v>
      </c>
      <c r="D20" s="20" t="str">
        <f t="shared" si="3"/>
        <v>vis</v>
      </c>
      <c r="E20" s="51">
        <f>VLOOKUP(C20,Active!C$21:E$973,3,FALSE)</f>
        <v>-4.973500439906779</v>
      </c>
      <c r="F20" s="2" t="s">
        <v>57</v>
      </c>
      <c r="G20" s="20" t="str">
        <f t="shared" si="4"/>
        <v>28095.329</v>
      </c>
      <c r="H20" s="26">
        <f t="shared" si="5"/>
        <v>-5</v>
      </c>
      <c r="I20" s="52" t="s">
        <v>68</v>
      </c>
      <c r="J20" s="53" t="s">
        <v>69</v>
      </c>
      <c r="K20" s="52">
        <v>-5</v>
      </c>
      <c r="L20" s="52" t="s">
        <v>70</v>
      </c>
      <c r="M20" s="53" t="s">
        <v>62</v>
      </c>
      <c r="N20" s="53"/>
      <c r="O20" s="54" t="s">
        <v>63</v>
      </c>
      <c r="P20" s="54" t="s">
        <v>64</v>
      </c>
    </row>
    <row r="21" spans="1:16" ht="12.75" customHeight="1" thickBot="1" x14ac:dyDescent="0.25">
      <c r="A21" s="26" t="str">
        <f t="shared" si="0"/>
        <v> AAAN 11.5.44 </v>
      </c>
      <c r="B21" s="2" t="str">
        <f t="shared" si="1"/>
        <v>I</v>
      </c>
      <c r="C21" s="26">
        <f t="shared" si="2"/>
        <v>28109.328000000001</v>
      </c>
      <c r="D21" s="20" t="str">
        <f t="shared" si="3"/>
        <v>vis</v>
      </c>
      <c r="E21" s="51">
        <f>VLOOKUP(C21,Active!C$21:E$973,3,FALSE)</f>
        <v>1.4966469763020407E-2</v>
      </c>
      <c r="F21" s="2" t="s">
        <v>57</v>
      </c>
      <c r="G21" s="20" t="str">
        <f t="shared" si="4"/>
        <v>28109.328</v>
      </c>
      <c r="H21" s="26">
        <f t="shared" si="5"/>
        <v>0</v>
      </c>
      <c r="I21" s="52" t="s">
        <v>71</v>
      </c>
      <c r="J21" s="53" t="s">
        <v>72</v>
      </c>
      <c r="K21" s="52">
        <v>0</v>
      </c>
      <c r="L21" s="52" t="s">
        <v>73</v>
      </c>
      <c r="M21" s="53" t="s">
        <v>62</v>
      </c>
      <c r="N21" s="53"/>
      <c r="O21" s="54" t="s">
        <v>63</v>
      </c>
      <c r="P21" s="54" t="s">
        <v>64</v>
      </c>
    </row>
    <row r="22" spans="1:16" ht="12.75" customHeight="1" thickBot="1" x14ac:dyDescent="0.25">
      <c r="A22" s="26" t="str">
        <f t="shared" si="0"/>
        <v> AAAN 11.5.44 </v>
      </c>
      <c r="B22" s="2" t="str">
        <f t="shared" si="1"/>
        <v>I</v>
      </c>
      <c r="C22" s="26">
        <f t="shared" si="2"/>
        <v>28280.554</v>
      </c>
      <c r="D22" s="20" t="str">
        <f t="shared" si="3"/>
        <v>vis</v>
      </c>
      <c r="E22" s="51">
        <f>VLOOKUP(C22,Active!C$21:E$973,3,FALSE)</f>
        <v>61.030412935591094</v>
      </c>
      <c r="F22" s="2" t="s">
        <v>57</v>
      </c>
      <c r="G22" s="20" t="str">
        <f t="shared" si="4"/>
        <v>28280.554</v>
      </c>
      <c r="H22" s="26">
        <f t="shared" si="5"/>
        <v>61</v>
      </c>
      <c r="I22" s="52" t="s">
        <v>74</v>
      </c>
      <c r="J22" s="53" t="s">
        <v>75</v>
      </c>
      <c r="K22" s="52">
        <v>61</v>
      </c>
      <c r="L22" s="52" t="s">
        <v>76</v>
      </c>
      <c r="M22" s="53" t="s">
        <v>62</v>
      </c>
      <c r="N22" s="53"/>
      <c r="O22" s="54" t="s">
        <v>63</v>
      </c>
      <c r="P22" s="54" t="s">
        <v>64</v>
      </c>
    </row>
    <row r="23" spans="1:16" ht="12.75" customHeight="1" thickBot="1" x14ac:dyDescent="0.25">
      <c r="A23" s="26" t="str">
        <f t="shared" si="0"/>
        <v> AAAN 11.5.44 </v>
      </c>
      <c r="B23" s="2" t="str">
        <f t="shared" si="1"/>
        <v>I</v>
      </c>
      <c r="C23" s="26">
        <f t="shared" si="2"/>
        <v>28308.488000000001</v>
      </c>
      <c r="D23" s="20" t="str">
        <f t="shared" si="3"/>
        <v>vis</v>
      </c>
      <c r="E23" s="51">
        <f>VLOOKUP(C23,Active!C$21:E$973,3,FALSE)</f>
        <v>70.984540705769234</v>
      </c>
      <c r="F23" s="2" t="s">
        <v>57</v>
      </c>
      <c r="G23" s="20" t="str">
        <f t="shared" si="4"/>
        <v>28308.488</v>
      </c>
      <c r="H23" s="26">
        <f t="shared" si="5"/>
        <v>71</v>
      </c>
      <c r="I23" s="52" t="s">
        <v>77</v>
      </c>
      <c r="J23" s="53" t="s">
        <v>78</v>
      </c>
      <c r="K23" s="52">
        <v>71</v>
      </c>
      <c r="L23" s="52" t="s">
        <v>79</v>
      </c>
      <c r="M23" s="53" t="s">
        <v>62</v>
      </c>
      <c r="N23" s="53"/>
      <c r="O23" s="54" t="s">
        <v>63</v>
      </c>
      <c r="P23" s="54" t="s">
        <v>64</v>
      </c>
    </row>
    <row r="24" spans="1:16" ht="12.75" customHeight="1" thickBot="1" x14ac:dyDescent="0.25">
      <c r="A24" s="26" t="str">
        <f t="shared" si="0"/>
        <v> AAAN 11.5.44 </v>
      </c>
      <c r="B24" s="2" t="str">
        <f t="shared" si="1"/>
        <v>I</v>
      </c>
      <c r="C24" s="26">
        <f t="shared" si="2"/>
        <v>28367.503000000001</v>
      </c>
      <c r="D24" s="20" t="str">
        <f t="shared" si="3"/>
        <v>vis</v>
      </c>
      <c r="E24" s="51">
        <f>VLOOKUP(C24,Active!C$21:E$973,3,FALSE)</f>
        <v>92.014212444762336</v>
      </c>
      <c r="F24" s="2" t="s">
        <v>57</v>
      </c>
      <c r="G24" s="20" t="str">
        <f t="shared" si="4"/>
        <v>28367.503</v>
      </c>
      <c r="H24" s="26">
        <f t="shared" si="5"/>
        <v>92</v>
      </c>
      <c r="I24" s="52" t="s">
        <v>80</v>
      </c>
      <c r="J24" s="53" t="s">
        <v>81</v>
      </c>
      <c r="K24" s="52">
        <v>92</v>
      </c>
      <c r="L24" s="52" t="s">
        <v>82</v>
      </c>
      <c r="M24" s="53" t="s">
        <v>62</v>
      </c>
      <c r="N24" s="53"/>
      <c r="O24" s="54" t="s">
        <v>63</v>
      </c>
      <c r="P24" s="54" t="s">
        <v>64</v>
      </c>
    </row>
    <row r="25" spans="1:16" ht="12.75" customHeight="1" thickBot="1" x14ac:dyDescent="0.25">
      <c r="A25" s="26" t="str">
        <f t="shared" si="0"/>
        <v> AAAN 11.5.44 </v>
      </c>
      <c r="B25" s="2" t="str">
        <f t="shared" si="1"/>
        <v>I</v>
      </c>
      <c r="C25" s="26">
        <f t="shared" si="2"/>
        <v>28426.366999999998</v>
      </c>
      <c r="D25" s="20" t="str">
        <f t="shared" si="3"/>
        <v>vis</v>
      </c>
      <c r="E25" s="51">
        <f>VLOOKUP(C25,Active!C$21:E$973,3,FALSE)</f>
        <v>112.99007616151326</v>
      </c>
      <c r="F25" s="2" t="s">
        <v>57</v>
      </c>
      <c r="G25" s="20" t="str">
        <f t="shared" si="4"/>
        <v>28426.367</v>
      </c>
      <c r="H25" s="26">
        <f t="shared" si="5"/>
        <v>113</v>
      </c>
      <c r="I25" s="52" t="s">
        <v>83</v>
      </c>
      <c r="J25" s="53" t="s">
        <v>84</v>
      </c>
      <c r="K25" s="52">
        <v>113</v>
      </c>
      <c r="L25" s="52" t="s">
        <v>85</v>
      </c>
      <c r="M25" s="53" t="s">
        <v>62</v>
      </c>
      <c r="N25" s="53"/>
      <c r="O25" s="54" t="s">
        <v>63</v>
      </c>
      <c r="P25" s="54" t="s">
        <v>64</v>
      </c>
    </row>
    <row r="26" spans="1:16" ht="12.75" customHeight="1" thickBot="1" x14ac:dyDescent="0.25">
      <c r="A26" s="26" t="str">
        <f t="shared" si="0"/>
        <v> AAAN 11.5.44 </v>
      </c>
      <c r="B26" s="2" t="str">
        <f t="shared" si="1"/>
        <v>I</v>
      </c>
      <c r="C26" s="26">
        <f t="shared" si="2"/>
        <v>28656.528999999999</v>
      </c>
      <c r="D26" s="20" t="str">
        <f t="shared" si="3"/>
        <v>vis</v>
      </c>
      <c r="E26" s="51">
        <f>VLOOKUP(C26,Active!C$21:E$973,3,FALSE)</f>
        <v>195.00704314940086</v>
      </c>
      <c r="F26" s="2" t="s">
        <v>57</v>
      </c>
      <c r="G26" s="20" t="str">
        <f t="shared" si="4"/>
        <v>28656.529</v>
      </c>
      <c r="H26" s="26">
        <f t="shared" si="5"/>
        <v>195</v>
      </c>
      <c r="I26" s="52" t="s">
        <v>86</v>
      </c>
      <c r="J26" s="53" t="s">
        <v>87</v>
      </c>
      <c r="K26" s="52">
        <v>195</v>
      </c>
      <c r="L26" s="52" t="s">
        <v>88</v>
      </c>
      <c r="M26" s="53" t="s">
        <v>62</v>
      </c>
      <c r="N26" s="53"/>
      <c r="O26" s="54" t="s">
        <v>63</v>
      </c>
      <c r="P26" s="54" t="s">
        <v>64</v>
      </c>
    </row>
    <row r="27" spans="1:16" ht="12.75" customHeight="1" thickBot="1" x14ac:dyDescent="0.25">
      <c r="A27" s="26" t="str">
        <f t="shared" si="0"/>
        <v> AAAN 11.5.44 </v>
      </c>
      <c r="B27" s="2" t="str">
        <f t="shared" si="1"/>
        <v>I</v>
      </c>
      <c r="C27" s="26">
        <f t="shared" si="2"/>
        <v>28774.394</v>
      </c>
      <c r="D27" s="20" t="str">
        <f t="shared" si="3"/>
        <v>vis</v>
      </c>
      <c r="E27" s="51">
        <f>VLOOKUP(C27,Active!C$21:E$973,3,FALSE)</f>
        <v>237.00758978189228</v>
      </c>
      <c r="F27" s="2" t="s">
        <v>57</v>
      </c>
      <c r="G27" s="20" t="str">
        <f t="shared" si="4"/>
        <v>28774.394</v>
      </c>
      <c r="H27" s="26">
        <f t="shared" si="5"/>
        <v>237</v>
      </c>
      <c r="I27" s="52" t="s">
        <v>89</v>
      </c>
      <c r="J27" s="53" t="s">
        <v>90</v>
      </c>
      <c r="K27" s="52">
        <v>237</v>
      </c>
      <c r="L27" s="52" t="s">
        <v>91</v>
      </c>
      <c r="M27" s="53" t="s">
        <v>62</v>
      </c>
      <c r="N27" s="53"/>
      <c r="O27" s="54" t="s">
        <v>63</v>
      </c>
      <c r="P27" s="54" t="s">
        <v>64</v>
      </c>
    </row>
    <row r="28" spans="1:16" ht="12.75" customHeight="1" thickBot="1" x14ac:dyDescent="0.25">
      <c r="A28" s="26" t="str">
        <f t="shared" si="0"/>
        <v> AAAN 11.5.44 </v>
      </c>
      <c r="B28" s="2" t="str">
        <f t="shared" si="1"/>
        <v>I</v>
      </c>
      <c r="C28" s="26">
        <f t="shared" si="2"/>
        <v>28847.327000000001</v>
      </c>
      <c r="D28" s="20" t="str">
        <f t="shared" si="3"/>
        <v>vis</v>
      </c>
      <c r="E28" s="51">
        <f>VLOOKUP(C28,Active!C$21:E$973,3,FALSE)</f>
        <v>262.99686452458513</v>
      </c>
      <c r="F28" s="2" t="s">
        <v>57</v>
      </c>
      <c r="G28" s="20" t="str">
        <f t="shared" si="4"/>
        <v>28847.327</v>
      </c>
      <c r="H28" s="26">
        <f t="shared" si="5"/>
        <v>263</v>
      </c>
      <c r="I28" s="52" t="s">
        <v>92</v>
      </c>
      <c r="J28" s="53" t="s">
        <v>93</v>
      </c>
      <c r="K28" s="52">
        <v>263</v>
      </c>
      <c r="L28" s="52" t="s">
        <v>94</v>
      </c>
      <c r="M28" s="53" t="s">
        <v>62</v>
      </c>
      <c r="N28" s="53"/>
      <c r="O28" s="54" t="s">
        <v>63</v>
      </c>
      <c r="P28" s="54" t="s">
        <v>64</v>
      </c>
    </row>
    <row r="29" spans="1:16" ht="12.75" customHeight="1" thickBot="1" x14ac:dyDescent="0.25">
      <c r="A29" s="26" t="str">
        <f t="shared" si="0"/>
        <v> AAAN 11.5.44 </v>
      </c>
      <c r="B29" s="2" t="str">
        <f t="shared" si="1"/>
        <v>I</v>
      </c>
      <c r="C29" s="26">
        <f t="shared" si="2"/>
        <v>29192.396000000001</v>
      </c>
      <c r="D29" s="20" t="str">
        <f t="shared" si="3"/>
        <v>vis</v>
      </c>
      <c r="E29" s="51">
        <f>VLOOKUP(C29,Active!C$21:E$973,3,FALSE)</f>
        <v>385.96031106025697</v>
      </c>
      <c r="F29" s="2" t="s">
        <v>57</v>
      </c>
      <c r="G29" s="20" t="str">
        <f t="shared" si="4"/>
        <v>29192.396</v>
      </c>
      <c r="H29" s="26">
        <f t="shared" si="5"/>
        <v>386</v>
      </c>
      <c r="I29" s="52" t="s">
        <v>95</v>
      </c>
      <c r="J29" s="53" t="s">
        <v>96</v>
      </c>
      <c r="K29" s="52">
        <v>386</v>
      </c>
      <c r="L29" s="52" t="s">
        <v>97</v>
      </c>
      <c r="M29" s="53" t="s">
        <v>62</v>
      </c>
      <c r="N29" s="53"/>
      <c r="O29" s="54" t="s">
        <v>63</v>
      </c>
      <c r="P29" s="54" t="s">
        <v>64</v>
      </c>
    </row>
    <row r="30" spans="1:16" ht="12.75" customHeight="1" thickBot="1" x14ac:dyDescent="0.25">
      <c r="A30" s="26" t="str">
        <f t="shared" si="0"/>
        <v> AAAN 11.5.44 </v>
      </c>
      <c r="B30" s="2" t="str">
        <f t="shared" si="1"/>
        <v>I</v>
      </c>
      <c r="C30" s="26">
        <f t="shared" si="2"/>
        <v>29195.350999999999</v>
      </c>
      <c r="D30" s="20" t="str">
        <f t="shared" si="3"/>
        <v>vis</v>
      </c>
      <c r="E30" s="51">
        <f>VLOOKUP(C30,Active!C$21:E$973,3,FALSE)</f>
        <v>387.01330911140815</v>
      </c>
      <c r="F30" s="2" t="s">
        <v>57</v>
      </c>
      <c r="G30" s="20" t="str">
        <f t="shared" si="4"/>
        <v>29195.351</v>
      </c>
      <c r="H30" s="26">
        <f t="shared" si="5"/>
        <v>387</v>
      </c>
      <c r="I30" s="52" t="s">
        <v>98</v>
      </c>
      <c r="J30" s="53" t="s">
        <v>99</v>
      </c>
      <c r="K30" s="52">
        <v>387</v>
      </c>
      <c r="L30" s="52" t="s">
        <v>100</v>
      </c>
      <c r="M30" s="53" t="s">
        <v>62</v>
      </c>
      <c r="N30" s="53"/>
      <c r="O30" s="54" t="s">
        <v>63</v>
      </c>
      <c r="P30" s="54" t="s">
        <v>64</v>
      </c>
    </row>
    <row r="31" spans="1:16" ht="12.75" customHeight="1" thickBot="1" x14ac:dyDescent="0.25">
      <c r="A31" s="26" t="str">
        <f t="shared" si="0"/>
        <v> AAAN 11.5.44 </v>
      </c>
      <c r="B31" s="2" t="str">
        <f t="shared" si="1"/>
        <v>I</v>
      </c>
      <c r="C31" s="26">
        <f t="shared" si="2"/>
        <v>29223.312999999998</v>
      </c>
      <c r="D31" s="20" t="str">
        <f t="shared" si="3"/>
        <v>vis</v>
      </c>
      <c r="E31" s="51">
        <f>VLOOKUP(C31,Active!C$21:E$973,3,FALSE)</f>
        <v>396.97741452809407</v>
      </c>
      <c r="F31" s="2" t="s">
        <v>57</v>
      </c>
      <c r="G31" s="20" t="str">
        <f t="shared" si="4"/>
        <v>29223.313</v>
      </c>
      <c r="H31" s="26">
        <f t="shared" si="5"/>
        <v>397</v>
      </c>
      <c r="I31" s="52" t="s">
        <v>101</v>
      </c>
      <c r="J31" s="53" t="s">
        <v>102</v>
      </c>
      <c r="K31" s="52">
        <v>397</v>
      </c>
      <c r="L31" s="52" t="s">
        <v>103</v>
      </c>
      <c r="M31" s="53" t="s">
        <v>62</v>
      </c>
      <c r="N31" s="53"/>
      <c r="O31" s="54" t="s">
        <v>63</v>
      </c>
      <c r="P31" s="54" t="s">
        <v>64</v>
      </c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</sheetData>
  <phoneticPr fontId="7" type="noConversion"/>
  <hyperlinks>
    <hyperlink ref="P11" r:id="rId1" display="http://www.bav-astro.de/sfs/BAVM_link.php?BAVMnr=117" xr:uid="{00000000-0004-0000-0100-000000000000}"/>
    <hyperlink ref="P12" r:id="rId2" display="http://var.astro.cz/oejv/issues/oejv0074.pdf" xr:uid="{00000000-0004-0000-0100-000001000000}"/>
    <hyperlink ref="P13" r:id="rId3" display="http://www.bav-astro.de/sfs/BAVM_link.php?BAVMnr=158" xr:uid="{00000000-0004-0000-0100-000002000000}"/>
    <hyperlink ref="P15" r:id="rId4" display="http://www.bav-astro.de/sfs/BAVM_link.php?BAVMnr=231" xr:uid="{00000000-0004-0000-0100-000003000000}"/>
    <hyperlink ref="P16" r:id="rId5" display="http://www.bav-astro.de/sfs/BAVM_link.php?BAVMnr=228" xr:uid="{00000000-0004-0000-0100-000004000000}"/>
    <hyperlink ref="P17" r:id="rId6" display="http://www.bav-astro.de/sfs/BAVM_link.php?BAVMnr=231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2024-01-31T03:57:29Z</dcterms:modified>
</cp:coreProperties>
</file>