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7EAB492-E901-441F-91EE-892244406A9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31" i="1"/>
  <c r="Q32" i="1"/>
  <c r="Q33" i="1"/>
  <c r="Q34" i="1"/>
  <c r="G19" i="2"/>
  <c r="C19" i="2"/>
  <c r="G23" i="2"/>
  <c r="C23" i="2"/>
  <c r="G22" i="2"/>
  <c r="C22" i="2"/>
  <c r="G18" i="2"/>
  <c r="C18" i="2"/>
  <c r="E18" i="2"/>
  <c r="G21" i="2"/>
  <c r="C21" i="2"/>
  <c r="G17" i="2"/>
  <c r="C17" i="2"/>
  <c r="G16" i="2"/>
  <c r="C16" i="2"/>
  <c r="E16" i="2"/>
  <c r="G15" i="2"/>
  <c r="C15" i="2"/>
  <c r="G14" i="2"/>
  <c r="C14" i="2"/>
  <c r="G13" i="2"/>
  <c r="C13" i="2"/>
  <c r="E13" i="2"/>
  <c r="G12" i="2"/>
  <c r="C12" i="2"/>
  <c r="E12" i="2"/>
  <c r="G20" i="2"/>
  <c r="C20" i="2"/>
  <c r="G11" i="2"/>
  <c r="C11" i="2"/>
  <c r="H19" i="2"/>
  <c r="D19" i="2"/>
  <c r="B19" i="2"/>
  <c r="A19" i="2"/>
  <c r="H23" i="2"/>
  <c r="B23" i="2"/>
  <c r="D23" i="2"/>
  <c r="A23" i="2"/>
  <c r="H22" i="2"/>
  <c r="D22" i="2"/>
  <c r="B22" i="2"/>
  <c r="A22" i="2"/>
  <c r="H18" i="2"/>
  <c r="B18" i="2"/>
  <c r="D18" i="2"/>
  <c r="A18" i="2"/>
  <c r="H21" i="2"/>
  <c r="D21" i="2"/>
  <c r="B21" i="2"/>
  <c r="A21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20" i="2"/>
  <c r="B20" i="2"/>
  <c r="D20" i="2"/>
  <c r="A20" i="2"/>
  <c r="H11" i="2"/>
  <c r="D11" i="2"/>
  <c r="B11" i="2"/>
  <c r="A11" i="2"/>
  <c r="Q30" i="1"/>
  <c r="E29" i="1"/>
  <c r="F29" i="1"/>
  <c r="Q29" i="1"/>
  <c r="F16" i="1"/>
  <c r="E23" i="1"/>
  <c r="F23" i="1"/>
  <c r="E24" i="1"/>
  <c r="F24" i="1"/>
  <c r="E27" i="1"/>
  <c r="F27" i="1"/>
  <c r="Q23" i="1"/>
  <c r="Q24" i="1"/>
  <c r="Q25" i="1"/>
  <c r="Q26" i="1"/>
  <c r="Q28" i="1"/>
  <c r="Q27" i="1"/>
  <c r="Q22" i="1"/>
  <c r="C21" i="1"/>
  <c r="Q21" i="1"/>
  <c r="C7" i="1"/>
  <c r="E33" i="1"/>
  <c r="F33" i="1"/>
  <c r="C8" i="1"/>
  <c r="E19" i="2"/>
  <c r="E20" i="2"/>
  <c r="E22" i="2"/>
  <c r="E21" i="1"/>
  <c r="F21" i="1"/>
  <c r="G21" i="1"/>
  <c r="E28" i="1"/>
  <c r="F28" i="1"/>
  <c r="G27" i="1"/>
  <c r="J27" i="1"/>
  <c r="E22" i="1"/>
  <c r="F22" i="1"/>
  <c r="G22" i="1"/>
  <c r="K22" i="1"/>
  <c r="G23" i="1"/>
  <c r="K23" i="1"/>
  <c r="E32" i="1"/>
  <c r="F32" i="1"/>
  <c r="G32" i="1"/>
  <c r="K32" i="1"/>
  <c r="G26" i="1"/>
  <c r="K26" i="1"/>
  <c r="E25" i="1"/>
  <c r="F25" i="1"/>
  <c r="G25" i="1"/>
  <c r="K25" i="1"/>
  <c r="C17" i="1"/>
  <c r="E34" i="1"/>
  <c r="F34" i="1"/>
  <c r="G34" i="1"/>
  <c r="K34" i="1"/>
  <c r="G31" i="1"/>
  <c r="I31" i="1"/>
  <c r="E17" i="2"/>
  <c r="G24" i="1"/>
  <c r="K24" i="1"/>
  <c r="G28" i="1"/>
  <c r="J28" i="1"/>
  <c r="E26" i="1"/>
  <c r="F26" i="1"/>
  <c r="G30" i="1"/>
  <c r="J30" i="1"/>
  <c r="G33" i="1"/>
  <c r="K33" i="1"/>
  <c r="E31" i="1"/>
  <c r="F31" i="1"/>
  <c r="G29" i="1"/>
  <c r="J29" i="1"/>
  <c r="E30" i="1"/>
  <c r="F30" i="1"/>
  <c r="H21" i="1"/>
  <c r="E15" i="2"/>
  <c r="E23" i="2"/>
  <c r="E14" i="2"/>
  <c r="E21" i="2"/>
  <c r="E11" i="2"/>
  <c r="C12" i="1"/>
  <c r="C11" i="1"/>
  <c r="O24" i="1" l="1"/>
  <c r="O22" i="1"/>
  <c r="O21" i="1"/>
  <c r="O27" i="1"/>
  <c r="O31" i="1"/>
  <c r="O25" i="1"/>
  <c r="O26" i="1"/>
  <c r="O34" i="1"/>
  <c r="O29" i="1"/>
  <c r="O32" i="1"/>
  <c r="O23" i="1"/>
  <c r="O33" i="1"/>
  <c r="O28" i="1"/>
  <c r="C15" i="1"/>
  <c r="F18" i="1" s="1"/>
  <c r="O30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<sst xmlns="http://schemas.openxmlformats.org/spreadsheetml/2006/main" count="195" uniqueCount="128">
  <si>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</si>
  <si>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</si>
  <si>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</si>
  <si>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</si>
  <si>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</si>
  <si>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</si>
  <si>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</si>
  <si>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</si>
  <si>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</si>
  <si>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</si>
  <si>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</si>
  <si>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</si>
  <si>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</si>
  <si>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</si>
  <si>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</si>
  <si>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</si>
  <si>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</si>
  <si>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</si>
  <si>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</si>
  <si>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</si>
  <si>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</si>
  <si>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</si>
  <si>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</si>
  <si>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</si>
  <si>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</si>
  <si>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</si>
  <si>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</si>
  <si>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</si>
  <si>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EW</t>
  </si>
  <si>
    <t>IBVS 5263</t>
  </si>
  <si>
    <t>I</t>
  </si>
  <si>
    <t>IBVS 5657</t>
  </si>
  <si>
    <t># of data points:</t>
  </si>
  <si>
    <t>IBVS 5731</t>
  </si>
  <si>
    <t>IBVS 5438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</si>
  <si>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</si>
  <si>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</si>
  <si>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</si>
  <si>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</si>
  <si>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</si>
  <si>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</si>
  <si>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</si>
  <si>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</si>
  <si>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CCD</t>
  </si>
  <si>
    <t>Add cycle</t>
  </si>
  <si>
    <t>Old Cycle</t>
  </si>
  <si>
    <t>IBVS 5959</t>
  </si>
  <si>
    <t>IBVS 6048</t>
  </si>
  <si>
    <t>V0502 Cyg / GSC 3160-0462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</si>
  <si>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</si>
  <si>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</si>
  <si>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</si>
  <si>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</si>
  <si>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</si>
  <si>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</si>
  <si>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</si>
  <si>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</si>
  <si>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</si>
  <si>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</si>
  <si>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2451399.5386 </t>
  </si>
  <si>
    <t> 09.08.1999 00:55 </t>
  </si>
  <si>
    <t> 0.0981 </t>
  </si>
  <si>
    <t>E </t>
  </si>
  <si>
    <t>?</t>
  </si>
  <si>
    <t> M.Zejda </t>
  </si>
  <si>
    <t>IBVS 5263 </t>
  </si>
  <si>
    <t>2452093.5000 </t>
  </si>
  <si>
    <t> 03.07.2001 00:00 </t>
  </si>
  <si>
    <t> 0.1029 </t>
  </si>
  <si>
    <t> R.Diethelm </t>
  </si>
  <si>
    <t> BBS 126 </t>
  </si>
  <si>
    <t>2452118.44812 </t>
  </si>
  <si>
    <t> 27.07.2001 22:45 </t>
  </si>
  <si>
    <t> 0.10483 </t>
  </si>
  <si>
    <t>C </t>
  </si>
  <si>
    <t>o</t>
  </si>
  <si>
    <t> J.Šafár </t>
  </si>
  <si>
    <t>OEJV 0074 </t>
  </si>
  <si>
    <t>2452123.54590 </t>
  </si>
  <si>
    <t> 02.08.2001 01:06 </t>
  </si>
  <si>
    <t> 0.09999 </t>
  </si>
  <si>
    <t> K.Koss </t>
  </si>
  <si>
    <t>2452427.44510 </t>
  </si>
  <si>
    <t> 01.06.2002 22:40 </t>
  </si>
  <si>
    <t> 0.10970 </t>
  </si>
  <si>
    <t> Motl et al. </t>
  </si>
  <si>
    <t>2452585.3353 </t>
  </si>
  <si>
    <t> 06.11.2002 20:02 </t>
  </si>
  <si>
    <t> 0.1021 </t>
  </si>
  <si>
    <t> E.Blättler </t>
  </si>
  <si>
    <t> BBS 129 </t>
  </si>
  <si>
    <t>2453258.6065 </t>
  </si>
  <si>
    <t> 10.09.2004 02:33 </t>
  </si>
  <si>
    <t> 0.1107 </t>
  </si>
  <si>
    <t> F.Agerer </t>
  </si>
  <si>
    <t>BAVM 173 </t>
  </si>
  <si>
    <t>2453928.4670 </t>
  </si>
  <si>
    <t> 11.07.2006 23:12 </t>
  </si>
  <si>
    <t> 0.1103 </t>
  </si>
  <si>
    <t>-I</t>
  </si>
  <si>
    <t>BAVM 178 </t>
  </si>
  <si>
    <t>2454697.5555 </t>
  </si>
  <si>
    <t> 19.08.2008 01:19 </t>
  </si>
  <si>
    <t>28923</t>
  </si>
  <si>
    <t> 0.1203 </t>
  </si>
  <si>
    <t>BAVM 203 </t>
  </si>
  <si>
    <t>2455294.5662 </t>
  </si>
  <si>
    <t> 08.04.2010 01:35 </t>
  </si>
  <si>
    <t>29976</t>
  </si>
  <si>
    <t> 0.1242 </t>
  </si>
  <si>
    <t> W.Moschner &amp; P.Frank </t>
  </si>
  <si>
    <t>BAVM 214 </t>
  </si>
  <si>
    <t>2455650.6162 </t>
  </si>
  <si>
    <t> 30.03.2011 02:47 </t>
  </si>
  <si>
    <t>30604</t>
  </si>
  <si>
    <t> 0.1246 </t>
  </si>
  <si>
    <t>BAVM 220 </t>
  </si>
  <si>
    <t>2455851.3197 </t>
  </si>
  <si>
    <t> 16.10.2011 19:40 </t>
  </si>
  <si>
    <t>30958</t>
  </si>
  <si>
    <t> 0.1249 </t>
  </si>
  <si>
    <t> U.Schmidt </t>
  </si>
  <si>
    <t>BAVM 225 </t>
  </si>
  <si>
    <t>2456010.6365 </t>
  </si>
  <si>
    <t> 24.03.2012 03:16 </t>
  </si>
  <si>
    <t>31239</t>
  </si>
  <si>
    <t> 0.1265 </t>
  </si>
  <si>
    <t>BAVM 228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</si>
</sst>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23106</c:v>
                </c:pt>
                <c:pt idx="2">
                  <c:v>24374</c:v>
                </c:pt>
                <c:pt idx="3">
                  <c:v>24383</c:v>
                </c:pt>
                <c:pt idx="4">
                  <c:v>24919</c:v>
                </c:pt>
                <c:pt idx="5">
                  <c:v>25197.5</c:v>
                </c:pt>
                <c:pt idx="6">
                  <c:v>26385</c:v>
                </c:pt>
                <c:pt idx="7">
                  <c:v>27566.5</c:v>
                </c:pt>
                <c:pt idx="8">
                  <c:v>29976</c:v>
                </c:pt>
                <c:pt idx="9">
                  <c:v>31239</c:v>
                </c:pt>
                <c:pt idx="10">
                  <c:v>24330</c:v>
                </c:pt>
                <c:pt idx="11">
                  <c:v>28923</c:v>
                </c:pt>
                <c:pt idx="12">
                  <c:v>30604</c:v>
                </c:pt>
                <c:pt idx="13">
                  <c:v>30958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1-45DC-8E1A-63ECB19CD0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23106</c:v>
                </c:pt>
                <c:pt idx="2">
                  <c:v>24374</c:v>
                </c:pt>
                <c:pt idx="3">
                  <c:v>24383</c:v>
                </c:pt>
                <c:pt idx="4">
                  <c:v>24919</c:v>
                </c:pt>
                <c:pt idx="5">
                  <c:v>25197.5</c:v>
                </c:pt>
                <c:pt idx="6">
                  <c:v>26385</c:v>
                </c:pt>
                <c:pt idx="7">
                  <c:v>27566.5</c:v>
                </c:pt>
                <c:pt idx="8">
                  <c:v>29976</c:v>
                </c:pt>
                <c:pt idx="9">
                  <c:v>31239</c:v>
                </c:pt>
                <c:pt idx="10">
                  <c:v>24330</c:v>
                </c:pt>
                <c:pt idx="11">
                  <c:v>28923</c:v>
                </c:pt>
                <c:pt idx="12">
                  <c:v>30604</c:v>
                </c:pt>
                <c:pt idx="13">
                  <c:v>30958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0">
                  <c:v>0.10285999999905471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1-45DC-8E1A-63ECB19CD0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23106</c:v>
                </c:pt>
                <c:pt idx="2">
                  <c:v>24374</c:v>
                </c:pt>
                <c:pt idx="3">
                  <c:v>24383</c:v>
                </c:pt>
                <c:pt idx="4">
                  <c:v>24919</c:v>
                </c:pt>
                <c:pt idx="5">
                  <c:v>25197.5</c:v>
                </c:pt>
                <c:pt idx="6">
                  <c:v>26385</c:v>
                </c:pt>
                <c:pt idx="7">
                  <c:v>27566.5</c:v>
                </c:pt>
                <c:pt idx="8">
                  <c:v>29976</c:v>
                </c:pt>
                <c:pt idx="9">
                  <c:v>31239</c:v>
                </c:pt>
                <c:pt idx="10">
                  <c:v>24330</c:v>
                </c:pt>
                <c:pt idx="11">
                  <c:v>28923</c:v>
                </c:pt>
                <c:pt idx="12">
                  <c:v>30604</c:v>
                </c:pt>
                <c:pt idx="13">
                  <c:v>30958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0.11067000000184635</c:v>
                </c:pt>
                <c:pt idx="7">
                  <c:v>0.11029299999790965</c:v>
                </c:pt>
                <c:pt idx="8">
                  <c:v>0.1241920000029495</c:v>
                </c:pt>
                <c:pt idx="9">
                  <c:v>0.126538000004075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81-45DC-8E1A-63ECB19CD0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23106</c:v>
                </c:pt>
                <c:pt idx="2">
                  <c:v>24374</c:v>
                </c:pt>
                <c:pt idx="3">
                  <c:v>24383</c:v>
                </c:pt>
                <c:pt idx="4">
                  <c:v>24919</c:v>
                </c:pt>
                <c:pt idx="5">
                  <c:v>25197.5</c:v>
                </c:pt>
                <c:pt idx="6">
                  <c:v>26385</c:v>
                </c:pt>
                <c:pt idx="7">
                  <c:v>27566.5</c:v>
                </c:pt>
                <c:pt idx="8">
                  <c:v>29976</c:v>
                </c:pt>
                <c:pt idx="9">
                  <c:v>31239</c:v>
                </c:pt>
                <c:pt idx="10">
                  <c:v>24330</c:v>
                </c:pt>
                <c:pt idx="11">
                  <c:v>28923</c:v>
                </c:pt>
                <c:pt idx="12">
                  <c:v>30604</c:v>
                </c:pt>
                <c:pt idx="13">
                  <c:v>30958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9.8052000001189299E-2</c:v>
                </c:pt>
                <c:pt idx="2">
                  <c:v>0.10482800000318093</c:v>
                </c:pt>
                <c:pt idx="3">
                  <c:v>9.9986000001081266E-2</c:v>
                </c:pt>
                <c:pt idx="4">
                  <c:v>0.10969800000020768</c:v>
                </c:pt>
                <c:pt idx="5">
                  <c:v>0.10209500000200933</c:v>
                </c:pt>
                <c:pt idx="11">
                  <c:v>0.12026599999808241</c:v>
                </c:pt>
                <c:pt idx="12">
                  <c:v>0.12456799999199575</c:v>
                </c:pt>
                <c:pt idx="13">
                  <c:v>0.12493600000016158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81-45DC-8E1A-63ECB19CD0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23106</c:v>
                </c:pt>
                <c:pt idx="2">
                  <c:v>24374</c:v>
                </c:pt>
                <c:pt idx="3">
                  <c:v>24383</c:v>
                </c:pt>
                <c:pt idx="4">
                  <c:v>24919</c:v>
                </c:pt>
                <c:pt idx="5">
                  <c:v>25197.5</c:v>
                </c:pt>
                <c:pt idx="6">
                  <c:v>26385</c:v>
                </c:pt>
                <c:pt idx="7">
                  <c:v>27566.5</c:v>
                </c:pt>
                <c:pt idx="8">
                  <c:v>29976</c:v>
                </c:pt>
                <c:pt idx="9">
                  <c:v>31239</c:v>
                </c:pt>
                <c:pt idx="10">
                  <c:v>24330</c:v>
                </c:pt>
                <c:pt idx="11">
                  <c:v>28923</c:v>
                </c:pt>
                <c:pt idx="12">
                  <c:v>30604</c:v>
                </c:pt>
                <c:pt idx="13">
                  <c:v>30958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81-45DC-8E1A-63ECB19CD0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23106</c:v>
                </c:pt>
                <c:pt idx="2">
                  <c:v>24374</c:v>
                </c:pt>
                <c:pt idx="3">
                  <c:v>24383</c:v>
                </c:pt>
                <c:pt idx="4">
                  <c:v>24919</c:v>
                </c:pt>
                <c:pt idx="5">
                  <c:v>25197.5</c:v>
                </c:pt>
                <c:pt idx="6">
                  <c:v>26385</c:v>
                </c:pt>
                <c:pt idx="7">
                  <c:v>27566.5</c:v>
                </c:pt>
                <c:pt idx="8">
                  <c:v>29976</c:v>
                </c:pt>
                <c:pt idx="9">
                  <c:v>31239</c:v>
                </c:pt>
                <c:pt idx="10">
                  <c:v>24330</c:v>
                </c:pt>
                <c:pt idx="11">
                  <c:v>28923</c:v>
                </c:pt>
                <c:pt idx="12">
                  <c:v>30604</c:v>
                </c:pt>
                <c:pt idx="13">
                  <c:v>30958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81-45DC-8E1A-63ECB19CD0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1.2999999999999999E-3</c:v>
                  </c:pt>
                  <c:pt idx="6">
                    <c:v>1.1000000000000001E-3</c:v>
                  </c:pt>
                  <c:pt idx="7">
                    <c:v>2E-3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23106</c:v>
                </c:pt>
                <c:pt idx="2">
                  <c:v>24374</c:v>
                </c:pt>
                <c:pt idx="3">
                  <c:v>24383</c:v>
                </c:pt>
                <c:pt idx="4">
                  <c:v>24919</c:v>
                </c:pt>
                <c:pt idx="5">
                  <c:v>25197.5</c:v>
                </c:pt>
                <c:pt idx="6">
                  <c:v>26385</c:v>
                </c:pt>
                <c:pt idx="7">
                  <c:v>27566.5</c:v>
                </c:pt>
                <c:pt idx="8">
                  <c:v>29976</c:v>
                </c:pt>
                <c:pt idx="9">
                  <c:v>31239</c:v>
                </c:pt>
                <c:pt idx="10">
                  <c:v>24330</c:v>
                </c:pt>
                <c:pt idx="11">
                  <c:v>28923</c:v>
                </c:pt>
                <c:pt idx="12">
                  <c:v>30604</c:v>
                </c:pt>
                <c:pt idx="13">
                  <c:v>30958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81-45DC-8E1A-63ECB19CD0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23106</c:v>
                </c:pt>
                <c:pt idx="2">
                  <c:v>24374</c:v>
                </c:pt>
                <c:pt idx="3">
                  <c:v>24383</c:v>
                </c:pt>
                <c:pt idx="4">
                  <c:v>24919</c:v>
                </c:pt>
                <c:pt idx="5">
                  <c:v>25197.5</c:v>
                </c:pt>
                <c:pt idx="6">
                  <c:v>26385</c:v>
                </c:pt>
                <c:pt idx="7">
                  <c:v>27566.5</c:v>
                </c:pt>
                <c:pt idx="8">
                  <c:v>29976</c:v>
                </c:pt>
                <c:pt idx="9">
                  <c:v>31239</c:v>
                </c:pt>
                <c:pt idx="10">
                  <c:v>24330</c:v>
                </c:pt>
                <c:pt idx="11">
                  <c:v>28923</c:v>
                </c:pt>
                <c:pt idx="12">
                  <c:v>30604</c:v>
                </c:pt>
                <c:pt idx="13">
                  <c:v>30958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2.1530699134398451E-3</c:v>
                </c:pt>
                <c:pt idx="1">
                  <c:v>9.5955378760747709E-2</c:v>
                </c:pt>
                <c:pt idx="2">
                  <c:v>0.10110301693344684</c:v>
                </c:pt>
                <c:pt idx="3">
                  <c:v>0.10113955379744866</c:v>
                </c:pt>
                <c:pt idx="4">
                  <c:v>0.10331552703133409</c:v>
                </c:pt>
                <c:pt idx="5">
                  <c:v>0.10444613998961226</c:v>
                </c:pt>
                <c:pt idx="6">
                  <c:v>0.109266976212073</c:v>
                </c:pt>
                <c:pt idx="7">
                  <c:v>0.11406345452519921</c:v>
                </c:pt>
                <c:pt idx="8">
                  <c:v>0.12384518494879432</c:v>
                </c:pt>
                <c:pt idx="9">
                  <c:v>0.12897252486371469</c:v>
                </c:pt>
                <c:pt idx="10">
                  <c:v>0.10092439226499356</c:v>
                </c:pt>
                <c:pt idx="11">
                  <c:v>0.11957037186058281</c:v>
                </c:pt>
                <c:pt idx="12">
                  <c:v>0.12639464612580936</c:v>
                </c:pt>
                <c:pt idx="13">
                  <c:v>0.12783176277654712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81-45DC-8E1A-63ECB19CD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405456"/>
        <c:axId val="1"/>
      </c:scatterChart>
      <c:valAx>
        <c:axId val="88240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405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55428915488954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381000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613074-4736-48F5-8825-B6E5B6125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bav-astro.de/sfs/BAVM_link.php?BAVMnr=173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24</v>
      </c>
      <c r="B2" s="10" t="s">
        <v>28</v>
      </c>
    </row>
    <row r="4" spans="1:6" ht="14.25" thickTop="1" thickBot="1" x14ac:dyDescent="0.25">
      <c r="A4" s="7" t="s">
        <v>0</v>
      </c>
      <c r="C4" s="3">
        <v>38299.309000000001</v>
      </c>
      <c r="D4" s="4">
        <v>0.56695799999999996</v>
      </c>
    </row>
    <row r="5" spans="1:6" ht="13.5" thickTop="1" x14ac:dyDescent="0.2">
      <c r="A5" s="11" t="s">
        <v>36</v>
      </c>
      <c r="B5" s="10"/>
      <c r="C5" s="12">
        <v>-9.5</v>
      </c>
      <c r="D5" s="10" t="s">
        <v>37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38299.309000000001</v>
      </c>
    </row>
    <row r="8" spans="1:6" x14ac:dyDescent="0.2">
      <c r="A8" t="s">
        <v>3</v>
      </c>
      <c r="C8">
        <f>+D4</f>
        <v>0.56695799999999996</v>
      </c>
    </row>
    <row r="9" spans="1:6" x14ac:dyDescent="0.2">
      <c r="A9" s="25" t="s">
        <v>41</v>
      </c>
      <c r="B9" s="26">
        <v>21</v>
      </c>
      <c r="C9" s="14" t="str">
        <f>"F"&amp;B9</f>
        <v>F21</v>
      </c>
      <c r="D9" s="15" t="str">
        <f>"G"&amp;B9</f>
        <v>G21</v>
      </c>
    </row>
    <row r="10" spans="1:6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6" x14ac:dyDescent="0.2">
      <c r="A11" s="10" t="s">
        <v>16</v>
      </c>
      <c r="B11" s="10"/>
      <c r="C11" s="13">
        <f ca="1">INTERCEPT(INDIRECT($D$9):G992,INDIRECT($C$9):F992)</f>
        <v>2.1530699134398451E-3</v>
      </c>
      <c r="D11" s="5"/>
      <c r="E11" s="10"/>
    </row>
    <row r="12" spans="1:6" x14ac:dyDescent="0.2">
      <c r="A12" s="10" t="s">
        <v>17</v>
      </c>
      <c r="B12" s="10"/>
      <c r="C12" s="13">
        <f ca="1">SLOPE(INDIRECT($D$9):G992,INDIRECT($C$9):F992)</f>
        <v>4.0596515557564207E-6</v>
      </c>
      <c r="D12" s="5"/>
      <c r="E12" s="10"/>
    </row>
    <row r="13" spans="1:6" x14ac:dyDescent="0.2">
      <c r="A13" s="10" t="s">
        <v>19</v>
      </c>
      <c r="B13" s="10"/>
      <c r="C13" s="5" t="s">
        <v>14</v>
      </c>
    </row>
    <row r="14" spans="1:6" x14ac:dyDescent="0.2">
      <c r="A14" s="10"/>
      <c r="B14" s="10"/>
      <c r="C14" s="10"/>
    </row>
    <row r="15" spans="1:6" x14ac:dyDescent="0.2">
      <c r="A15" s="16" t="s">
        <v>18</v>
      </c>
      <c r="B15" s="10"/>
      <c r="C15" s="17">
        <f ca="1">(C7+C11)+(C8+C12)*INT(MAX(F21:F3533))</f>
        <v>56010.638934524868</v>
      </c>
      <c r="E15" s="18" t="s">
        <v>44</v>
      </c>
      <c r="F15" s="12">
        <v>1</v>
      </c>
    </row>
    <row r="16" spans="1:6" x14ac:dyDescent="0.2">
      <c r="A16" s="20" t="s">
        <v>4</v>
      </c>
      <c r="B16" s="10"/>
      <c r="C16" s="21">
        <f ca="1">+C8+C12</f>
        <v>0.56696205965155577</v>
      </c>
      <c r="E16" s="18" t="s">
        <v>38</v>
      </c>
      <c r="F16" s="19">
        <f ca="1">NOW()+15018.5+$C$5/24</f>
        <v>60340.707046990741</v>
      </c>
    </row>
    <row r="17" spans="1:17" ht="13.5" thickBot="1" x14ac:dyDescent="0.25">
      <c r="A17" s="18" t="s">
        <v>32</v>
      </c>
      <c r="B17" s="10"/>
      <c r="C17" s="10">
        <f>COUNT(C21:C2191)</f>
        <v>14</v>
      </c>
      <c r="E17" s="18" t="s">
        <v>45</v>
      </c>
      <c r="F17" s="19">
        <f ca="1">ROUND(2*(F16-$C$7)/$C$8,0)/2+F15</f>
        <v>38877.5</v>
      </c>
    </row>
    <row r="18" spans="1:17" ht="14.25" thickTop="1" thickBot="1" x14ac:dyDescent="0.25">
      <c r="A18" s="20" t="s">
        <v>5</v>
      </c>
      <c r="B18" s="10"/>
      <c r="C18" s="23">
        <f ca="1">+C15</f>
        <v>56010.638934524868</v>
      </c>
      <c r="D18" s="24">
        <f ca="1">+C16</f>
        <v>0.56696205965155577</v>
      </c>
      <c r="E18" s="18" t="s">
        <v>39</v>
      </c>
      <c r="F18" s="15">
        <f ca="1">ROUND(2*(F16-$C$15)/$C$16,0)/2+F15</f>
        <v>7638.5</v>
      </c>
    </row>
    <row r="19" spans="1:17" ht="13.5" thickTop="1" x14ac:dyDescent="0.2">
      <c r="E19" s="18" t="s">
        <v>40</v>
      </c>
      <c r="F19" s="22">
        <f ca="1">+$C$15+$C$16*F18-15018.5-$C$5/24</f>
        <v>45323.274460506611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55</v>
      </c>
      <c r="I20" s="9" t="s">
        <v>58</v>
      </c>
      <c r="J20" s="9" t="s">
        <v>52</v>
      </c>
      <c r="K20" s="9" t="s">
        <v>43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s="27" t="s">
        <v>12</v>
      </c>
      <c r="B21" s="27"/>
      <c r="C21" s="28">
        <f>+C4</f>
        <v>38299.309000000001</v>
      </c>
      <c r="D21" s="28" t="s">
        <v>14</v>
      </c>
      <c r="E21" s="27">
        <f t="shared" ref="E21:E28" si="0">+(C21-C$7)/C$8</f>
        <v>0</v>
      </c>
      <c r="F21">
        <f t="shared" ref="F21:F34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2.1530699134398451E-3</v>
      </c>
      <c r="Q21" s="2">
        <f t="shared" ref="Q21:Q28" si="4">+C21-15018.5</f>
        <v>23280.809000000001</v>
      </c>
    </row>
    <row r="22" spans="1:17" x14ac:dyDescent="0.2">
      <c r="A22" s="29" t="s">
        <v>29</v>
      </c>
      <c r="B22" s="30" t="s">
        <v>30</v>
      </c>
      <c r="C22" s="31">
        <v>51399.5386</v>
      </c>
      <c r="D22" s="31">
        <v>2.2000000000000001E-3</v>
      </c>
      <c r="E22" s="27">
        <f t="shared" si="0"/>
        <v>23106.172944027599</v>
      </c>
      <c r="F22">
        <f t="shared" si="1"/>
        <v>23106</v>
      </c>
      <c r="G22">
        <f t="shared" si="2"/>
        <v>9.8052000001189299E-2</v>
      </c>
      <c r="K22">
        <f>+G22</f>
        <v>9.8052000001189299E-2</v>
      </c>
      <c r="O22">
        <f t="shared" ca="1" si="3"/>
        <v>9.5955378760747709E-2</v>
      </c>
      <c r="Q22" s="2">
        <f t="shared" si="4"/>
        <v>36381.0386</v>
      </c>
    </row>
    <row r="23" spans="1:17" x14ac:dyDescent="0.2">
      <c r="A23" s="32" t="s">
        <v>42</v>
      </c>
      <c r="B23" s="33" t="s">
        <v>30</v>
      </c>
      <c r="C23" s="32">
        <v>52118.448120000001</v>
      </c>
      <c r="D23" s="32">
        <v>3.0000000000000001E-3</v>
      </c>
      <c r="E23" s="27">
        <f t="shared" si="0"/>
        <v>24374.184895530183</v>
      </c>
      <c r="F23">
        <f t="shared" si="1"/>
        <v>24374</v>
      </c>
      <c r="G23">
        <f t="shared" si="2"/>
        <v>0.10482800000318093</v>
      </c>
      <c r="K23">
        <f>+G23</f>
        <v>0.10482800000318093</v>
      </c>
      <c r="O23">
        <f t="shared" ca="1" si="3"/>
        <v>0.10110301693344684</v>
      </c>
      <c r="Q23" s="2">
        <f t="shared" si="4"/>
        <v>37099.948120000001</v>
      </c>
    </row>
    <row r="24" spans="1:17" x14ac:dyDescent="0.2">
      <c r="A24" s="32" t="s">
        <v>42</v>
      </c>
      <c r="B24" s="33" t="s">
        <v>30</v>
      </c>
      <c r="C24" s="32">
        <v>52123.545899999997</v>
      </c>
      <c r="D24" s="32" t="s">
        <v>43</v>
      </c>
      <c r="E24" s="27">
        <f t="shared" si="0"/>
        <v>24383.176355215019</v>
      </c>
      <c r="F24">
        <f t="shared" si="1"/>
        <v>24383</v>
      </c>
      <c r="G24">
        <f t="shared" si="2"/>
        <v>9.9986000001081266E-2</v>
      </c>
      <c r="K24">
        <f>+G24</f>
        <v>9.9986000001081266E-2</v>
      </c>
      <c r="O24">
        <f t="shared" ca="1" si="3"/>
        <v>0.10113955379744866</v>
      </c>
      <c r="Q24" s="2">
        <f t="shared" si="4"/>
        <v>37105.045899999997</v>
      </c>
    </row>
    <row r="25" spans="1:17" x14ac:dyDescent="0.2">
      <c r="A25" s="32" t="s">
        <v>42</v>
      </c>
      <c r="B25" s="33" t="s">
        <v>30</v>
      </c>
      <c r="C25" s="32">
        <v>52427.445099999997</v>
      </c>
      <c r="D25" s="32" t="s">
        <v>43</v>
      </c>
      <c r="E25" s="27">
        <f t="shared" si="0"/>
        <v>24919.193485231706</v>
      </c>
      <c r="F25">
        <f t="shared" si="1"/>
        <v>24919</v>
      </c>
      <c r="G25">
        <f t="shared" si="2"/>
        <v>0.10969800000020768</v>
      </c>
      <c r="K25">
        <f>+G25</f>
        <v>0.10969800000020768</v>
      </c>
      <c r="O25">
        <f t="shared" ca="1" si="3"/>
        <v>0.10331552703133409</v>
      </c>
      <c r="Q25" s="2">
        <f t="shared" si="4"/>
        <v>37408.945099999997</v>
      </c>
    </row>
    <row r="26" spans="1:17" x14ac:dyDescent="0.2">
      <c r="A26" s="34" t="s">
        <v>34</v>
      </c>
      <c r="B26" s="35" t="s">
        <v>35</v>
      </c>
      <c r="C26" s="28">
        <v>52585.335299999999</v>
      </c>
      <c r="D26" s="28">
        <v>1.2999999999999999E-3</v>
      </c>
      <c r="E26" s="27">
        <f t="shared" si="0"/>
        <v>25197.680075067288</v>
      </c>
      <c r="F26">
        <f t="shared" si="1"/>
        <v>25197.5</v>
      </c>
      <c r="G26">
        <f t="shared" si="2"/>
        <v>0.10209500000200933</v>
      </c>
      <c r="K26">
        <f>+G26</f>
        <v>0.10209500000200933</v>
      </c>
      <c r="O26">
        <f t="shared" ca="1" si="3"/>
        <v>0.10444613998961226</v>
      </c>
      <c r="Q26" s="2">
        <f t="shared" si="4"/>
        <v>37566.835299999999</v>
      </c>
    </row>
    <row r="27" spans="1:17" x14ac:dyDescent="0.2">
      <c r="A27" s="36" t="s">
        <v>31</v>
      </c>
      <c r="B27" s="37"/>
      <c r="C27" s="28">
        <v>53258.606500000002</v>
      </c>
      <c r="D27" s="28">
        <v>1.1000000000000001E-3</v>
      </c>
      <c r="E27" s="27">
        <f t="shared" si="0"/>
        <v>26385.195199644422</v>
      </c>
      <c r="F27">
        <f t="shared" si="1"/>
        <v>26385</v>
      </c>
      <c r="G27">
        <f t="shared" si="2"/>
        <v>0.11067000000184635</v>
      </c>
      <c r="J27">
        <f>+G27</f>
        <v>0.11067000000184635</v>
      </c>
      <c r="O27">
        <f t="shared" ca="1" si="3"/>
        <v>0.109266976212073</v>
      </c>
      <c r="Q27" s="2">
        <f t="shared" si="4"/>
        <v>38240.106500000002</v>
      </c>
    </row>
    <row r="28" spans="1:17" x14ac:dyDescent="0.2">
      <c r="A28" s="34" t="s">
        <v>33</v>
      </c>
      <c r="B28" s="38"/>
      <c r="C28" s="39">
        <v>53928.466999999997</v>
      </c>
      <c r="D28" s="28">
        <v>2E-3</v>
      </c>
      <c r="E28" s="27">
        <f t="shared" si="0"/>
        <v>27566.69453469216</v>
      </c>
      <c r="F28">
        <f t="shared" si="1"/>
        <v>27566.5</v>
      </c>
      <c r="G28">
        <f t="shared" si="2"/>
        <v>0.11029299999790965</v>
      </c>
      <c r="J28">
        <f>+G28</f>
        <v>0.11029299999790965</v>
      </c>
      <c r="O28">
        <f t="shared" ca="1" si="3"/>
        <v>0.11406345452519921</v>
      </c>
      <c r="Q28" s="2">
        <f t="shared" si="4"/>
        <v>38909.966999999997</v>
      </c>
    </row>
    <row r="29" spans="1:17" x14ac:dyDescent="0.2">
      <c r="A29" s="29" t="s">
        <v>46</v>
      </c>
      <c r="B29" s="40" t="s">
        <v>30</v>
      </c>
      <c r="C29" s="29">
        <v>55294.566200000001</v>
      </c>
      <c r="D29" s="29">
        <v>6.9999999999999999E-4</v>
      </c>
      <c r="E29" s="27">
        <f t="shared" ref="E29:E34" si="5">+(C29-C$7)/C$8</f>
        <v>29976.21904973561</v>
      </c>
      <c r="F29">
        <f t="shared" si="1"/>
        <v>29976</v>
      </c>
      <c r="G29">
        <f t="shared" ref="G29:G34" si="6">+C29-(C$7+F29*C$8)</f>
        <v>0.1241920000029495</v>
      </c>
      <c r="J29">
        <f>+G29</f>
        <v>0.1241920000029495</v>
      </c>
      <c r="O29">
        <f t="shared" ref="O29:O34" ca="1" si="7">+C$11+C$12*$F29</f>
        <v>0.12384518494879432</v>
      </c>
      <c r="Q29" s="2">
        <f t="shared" ref="Q29:Q34" si="8">+C29-15018.5</f>
        <v>40276.066200000001</v>
      </c>
    </row>
    <row r="30" spans="1:17" x14ac:dyDescent="0.2">
      <c r="A30" s="41" t="s">
        <v>47</v>
      </c>
      <c r="B30" s="42" t="s">
        <v>30</v>
      </c>
      <c r="C30" s="43">
        <v>56010.636500000001</v>
      </c>
      <c r="D30" s="43">
        <v>2.0000000000000001E-4</v>
      </c>
      <c r="E30" s="27">
        <f t="shared" si="5"/>
        <v>31239.223187608255</v>
      </c>
      <c r="F30">
        <f t="shared" si="1"/>
        <v>31239</v>
      </c>
      <c r="G30">
        <f t="shared" si="6"/>
        <v>0.126538000004075</v>
      </c>
      <c r="J30">
        <f>+G30</f>
        <v>0.126538000004075</v>
      </c>
      <c r="O30">
        <f t="shared" ca="1" si="7"/>
        <v>0.12897252486371469</v>
      </c>
      <c r="Q30" s="2">
        <f t="shared" si="8"/>
        <v>40992.136500000001</v>
      </c>
    </row>
    <row r="31" spans="1:17" x14ac:dyDescent="0.2">
      <c r="A31" s="58" t="s">
        <v>70</v>
      </c>
      <c r="B31" s="59" t="s">
        <v>30</v>
      </c>
      <c r="C31" s="58">
        <v>52093.5</v>
      </c>
      <c r="D31" s="58" t="s">
        <v>58</v>
      </c>
      <c r="E31" s="27">
        <f t="shared" si="5"/>
        <v>24330.181424373586</v>
      </c>
      <c r="F31">
        <f t="shared" si="1"/>
        <v>24330</v>
      </c>
      <c r="G31">
        <f t="shared" si="6"/>
        <v>0.10285999999905471</v>
      </c>
      <c r="I31">
        <f>+G31</f>
        <v>0.10285999999905471</v>
      </c>
      <c r="O31">
        <f t="shared" ca="1" si="7"/>
        <v>0.10092439226499356</v>
      </c>
      <c r="Q31" s="2">
        <f t="shared" si="8"/>
        <v>37075</v>
      </c>
    </row>
    <row r="32" spans="1:17" x14ac:dyDescent="0.2">
      <c r="A32" s="58" t="s">
        <v>105</v>
      </c>
      <c r="B32" s="59" t="s">
        <v>30</v>
      </c>
      <c r="C32" s="58">
        <v>54697.555500000002</v>
      </c>
      <c r="D32" s="58" t="s">
        <v>58</v>
      </c>
      <c r="E32" s="27">
        <f t="shared" si="5"/>
        <v>28923.212125060414</v>
      </c>
      <c r="F32">
        <f t="shared" si="1"/>
        <v>28923</v>
      </c>
      <c r="G32">
        <f t="shared" si="6"/>
        <v>0.12026599999808241</v>
      </c>
      <c r="K32">
        <f>+G32</f>
        <v>0.12026599999808241</v>
      </c>
      <c r="O32">
        <f t="shared" ca="1" si="7"/>
        <v>0.11957037186058281</v>
      </c>
      <c r="Q32" s="2">
        <f t="shared" si="8"/>
        <v>39679.055500000002</v>
      </c>
    </row>
    <row r="33" spans="1:17" x14ac:dyDescent="0.2">
      <c r="A33" s="58" t="s">
        <v>116</v>
      </c>
      <c r="B33" s="59" t="s">
        <v>30</v>
      </c>
      <c r="C33" s="58">
        <v>55650.616199999997</v>
      </c>
      <c r="D33" s="58" t="s">
        <v>58</v>
      </c>
      <c r="E33" s="27">
        <f t="shared" si="5"/>
        <v>30604.219712924056</v>
      </c>
      <c r="F33">
        <f t="shared" si="1"/>
        <v>30604</v>
      </c>
      <c r="G33">
        <f t="shared" si="6"/>
        <v>0.12456799999199575</v>
      </c>
      <c r="K33">
        <f>+G33</f>
        <v>0.12456799999199575</v>
      </c>
      <c r="O33">
        <f t="shared" ca="1" si="7"/>
        <v>0.12639464612580936</v>
      </c>
      <c r="Q33" s="2">
        <f t="shared" si="8"/>
        <v>40632.116199999997</v>
      </c>
    </row>
    <row r="34" spans="1:17" x14ac:dyDescent="0.2">
      <c r="A34" s="58" t="s">
        <v>122</v>
      </c>
      <c r="B34" s="59" t="s">
        <v>30</v>
      </c>
      <c r="C34" s="58">
        <v>55851.3197</v>
      </c>
      <c r="D34" s="58" t="s">
        <v>58</v>
      </c>
      <c r="E34" s="27">
        <f t="shared" si="5"/>
        <v>30958.220362002125</v>
      </c>
      <c r="F34">
        <f t="shared" si="1"/>
        <v>30958</v>
      </c>
      <c r="G34">
        <f t="shared" si="6"/>
        <v>0.12493600000016158</v>
      </c>
      <c r="K34">
        <f>+G34</f>
        <v>0.12493600000016158</v>
      </c>
      <c r="O34">
        <f t="shared" ca="1" si="7"/>
        <v>0.12783176277654712</v>
      </c>
      <c r="Q34" s="2">
        <f t="shared" si="8"/>
        <v>40832.8197</v>
      </c>
    </row>
    <row r="35" spans="1:17" x14ac:dyDescent="0.2">
      <c r="B35" s="5"/>
      <c r="D35" s="5"/>
    </row>
    <row r="36" spans="1:17" x14ac:dyDescent="0.2">
      <c r="B36" s="5"/>
      <c r="D36" s="5"/>
    </row>
    <row r="37" spans="1:17" x14ac:dyDescent="0.2">
      <c r="D37" s="5"/>
    </row>
    <row r="38" spans="1:17" x14ac:dyDescent="0.2">
      <c r="D38" s="5"/>
    </row>
    <row r="39" spans="1:17" x14ac:dyDescent="0.2">
      <c r="D39" s="5"/>
    </row>
    <row r="40" spans="1:17" x14ac:dyDescent="0.2">
      <c r="D40" s="5"/>
    </row>
    <row r="41" spans="1:17" x14ac:dyDescent="0.2">
      <c r="D41" s="5"/>
    </row>
    <row r="42" spans="1:17" x14ac:dyDescent="0.2">
      <c r="D42" s="5"/>
    </row>
    <row r="43" spans="1:17" x14ac:dyDescent="0.2">
      <c r="D43" s="5"/>
    </row>
    <row r="44" spans="1:17" x14ac:dyDescent="0.2">
      <c r="D44" s="5"/>
    </row>
    <row r="45" spans="1:17" x14ac:dyDescent="0.2">
      <c r="D45" s="5"/>
    </row>
    <row r="46" spans="1:17" x14ac:dyDescent="0.2">
      <c r="D46" s="5"/>
    </row>
    <row r="47" spans="1:17" x14ac:dyDescent="0.2">
      <c r="D47" s="5"/>
    </row>
    <row r="48" spans="1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workbookViewId="0">
      <selection activeCell="A20" sqref="A20:D23"/>
    </sheetView>
  </sheetViews>
  <sheetFormatPr defaultRowHeight="12.75" x14ac:dyDescent="0.2"/>
  <cols>
    <col min="1" max="1" width="19.7109375" style="45" customWidth="1"/>
    <col min="2" max="2" width="4.42578125" style="10" customWidth="1"/>
    <col min="3" max="3" width="12.7109375" style="45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45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4" t="s">
        <v>49</v>
      </c>
      <c r="I1" s="46" t="s">
        <v>50</v>
      </c>
      <c r="J1" s="47" t="s">
        <v>43</v>
      </c>
    </row>
    <row r="2" spans="1:16" x14ac:dyDescent="0.2">
      <c r="I2" s="48" t="s">
        <v>51</v>
      </c>
      <c r="J2" s="49" t="s">
        <v>52</v>
      </c>
    </row>
    <row r="3" spans="1:16" x14ac:dyDescent="0.2">
      <c r="A3" s="50" t="s">
        <v>53</v>
      </c>
      <c r="I3" s="48" t="s">
        <v>54</v>
      </c>
      <c r="J3" s="49" t="s">
        <v>55</v>
      </c>
    </row>
    <row r="4" spans="1:16" x14ac:dyDescent="0.2">
      <c r="I4" s="48" t="s">
        <v>56</v>
      </c>
      <c r="J4" s="49" t="s">
        <v>55</v>
      </c>
    </row>
    <row r="5" spans="1:16" ht="13.5" thickBot="1" x14ac:dyDescent="0.25">
      <c r="I5" s="51" t="s">
        <v>57</v>
      </c>
      <c r="J5" s="52" t="s">
        <v>58</v>
      </c>
    </row>
    <row r="10" spans="1:16" ht="13.5" thickBot="1" x14ac:dyDescent="0.25"/>
    <row r="11" spans="1:16" ht="12.75" customHeight="1" thickBot="1" x14ac:dyDescent="0.25">
      <c r="A11" s="45" t="str">
        <f t="shared" ref="A11:A23" si="0">P11</f>
        <v>IBVS 5263 </v>
      </c>
      <c r="B11" s="5" t="str">
        <f t="shared" ref="B11:B23" si="1">IF(H11=INT(H11),"I","II")</f>
        <v>I</v>
      </c>
      <c r="C11" s="45">
        <f t="shared" ref="C11:C23" si="2">1*G11</f>
        <v>51399.5386</v>
      </c>
      <c r="D11" s="10" t="str">
        <f t="shared" ref="D11:D23" si="3">VLOOKUP(F11,I$1:J$5,2,FALSE)</f>
        <v>vis</v>
      </c>
      <c r="E11" s="53">
        <f>VLOOKUP(C11,Active!C$21:E$973,3,FALSE)</f>
        <v>23106.172944027599</v>
      </c>
      <c r="F11" s="5" t="s">
        <v>57</v>
      </c>
      <c r="G11" s="10" t="str">
        <f t="shared" ref="G11:G23" si="4">MID(I11,3,LEN(I11)-3)</f>
        <v>51399.5386</v>
      </c>
      <c r="H11" s="45">
        <f t="shared" ref="H11:H23" si="5">1*K11</f>
        <v>23106</v>
      </c>
      <c r="I11" s="54" t="s">
        <v>59</v>
      </c>
      <c r="J11" s="55" t="s">
        <v>60</v>
      </c>
      <c r="K11" s="54">
        <v>23106</v>
      </c>
      <c r="L11" s="54" t="s">
        <v>61</v>
      </c>
      <c r="M11" s="55" t="s">
        <v>62</v>
      </c>
      <c r="N11" s="55" t="s">
        <v>63</v>
      </c>
      <c r="O11" s="56" t="s">
        <v>64</v>
      </c>
      <c r="P11" s="57" t="s">
        <v>65</v>
      </c>
    </row>
    <row r="12" spans="1:16" ht="12.75" customHeight="1" thickBot="1" x14ac:dyDescent="0.25">
      <c r="A12" s="45" t="str">
        <f t="shared" si="0"/>
        <v>OEJV 0074 </v>
      </c>
      <c r="B12" s="5" t="str">
        <f t="shared" si="1"/>
        <v>I</v>
      </c>
      <c r="C12" s="45">
        <f t="shared" si="2"/>
        <v>52118.448120000001</v>
      </c>
      <c r="D12" s="10" t="str">
        <f t="shared" si="3"/>
        <v>vis</v>
      </c>
      <c r="E12" s="53">
        <f>VLOOKUP(C12,Active!C$21:E$973,3,FALSE)</f>
        <v>24374.184895530183</v>
      </c>
      <c r="F12" s="5" t="s">
        <v>57</v>
      </c>
      <c r="G12" s="10" t="str">
        <f t="shared" si="4"/>
        <v>52118.44812</v>
      </c>
      <c r="H12" s="45">
        <f t="shared" si="5"/>
        <v>24374</v>
      </c>
      <c r="I12" s="54" t="s">
        <v>71</v>
      </c>
      <c r="J12" s="55" t="s">
        <v>72</v>
      </c>
      <c r="K12" s="54">
        <v>24374</v>
      </c>
      <c r="L12" s="54" t="s">
        <v>73</v>
      </c>
      <c r="M12" s="55" t="s">
        <v>74</v>
      </c>
      <c r="N12" s="55" t="s">
        <v>75</v>
      </c>
      <c r="O12" s="56" t="s">
        <v>76</v>
      </c>
      <c r="P12" s="57" t="s">
        <v>77</v>
      </c>
    </row>
    <row r="13" spans="1:16" ht="12.75" customHeight="1" thickBot="1" x14ac:dyDescent="0.25">
      <c r="A13" s="45" t="str">
        <f t="shared" si="0"/>
        <v>OEJV 0074 </v>
      </c>
      <c r="B13" s="5" t="str">
        <f t="shared" si="1"/>
        <v>I</v>
      </c>
      <c r="C13" s="45">
        <f t="shared" si="2"/>
        <v>52123.545899999997</v>
      </c>
      <c r="D13" s="10" t="str">
        <f t="shared" si="3"/>
        <v>vis</v>
      </c>
      <c r="E13" s="53">
        <f>VLOOKUP(C13,Active!C$21:E$973,3,FALSE)</f>
        <v>24383.176355215019</v>
      </c>
      <c r="F13" s="5" t="s">
        <v>57</v>
      </c>
      <c r="G13" s="10" t="str">
        <f t="shared" si="4"/>
        <v>52123.54590</v>
      </c>
      <c r="H13" s="45">
        <f t="shared" si="5"/>
        <v>24383</v>
      </c>
      <c r="I13" s="54" t="s">
        <v>78</v>
      </c>
      <c r="J13" s="55" t="s">
        <v>79</v>
      </c>
      <c r="K13" s="54">
        <v>24383</v>
      </c>
      <c r="L13" s="54" t="s">
        <v>80</v>
      </c>
      <c r="M13" s="55" t="s">
        <v>74</v>
      </c>
      <c r="N13" s="55" t="s">
        <v>75</v>
      </c>
      <c r="O13" s="56" t="s">
        <v>81</v>
      </c>
      <c r="P13" s="57" t="s">
        <v>77</v>
      </c>
    </row>
    <row r="14" spans="1:16" ht="12.75" customHeight="1" thickBot="1" x14ac:dyDescent="0.25">
      <c r="A14" s="45" t="str">
        <f t="shared" si="0"/>
        <v>OEJV 0074 </v>
      </c>
      <c r="B14" s="5" t="str">
        <f t="shared" si="1"/>
        <v>I</v>
      </c>
      <c r="C14" s="45">
        <f t="shared" si="2"/>
        <v>52427.445099999997</v>
      </c>
      <c r="D14" s="10" t="str">
        <f t="shared" si="3"/>
        <v>vis</v>
      </c>
      <c r="E14" s="53">
        <f>VLOOKUP(C14,Active!C$21:E$973,3,FALSE)</f>
        <v>24919.193485231706</v>
      </c>
      <c r="F14" s="5" t="s">
        <v>57</v>
      </c>
      <c r="G14" s="10" t="str">
        <f t="shared" si="4"/>
        <v>52427.44510</v>
      </c>
      <c r="H14" s="45">
        <f t="shared" si="5"/>
        <v>24919</v>
      </c>
      <c r="I14" s="54" t="s">
        <v>82</v>
      </c>
      <c r="J14" s="55" t="s">
        <v>83</v>
      </c>
      <c r="K14" s="54">
        <v>24919</v>
      </c>
      <c r="L14" s="54" t="s">
        <v>84</v>
      </c>
      <c r="M14" s="55" t="s">
        <v>74</v>
      </c>
      <c r="N14" s="55" t="s">
        <v>75</v>
      </c>
      <c r="O14" s="56" t="s">
        <v>85</v>
      </c>
      <c r="P14" s="57" t="s">
        <v>77</v>
      </c>
    </row>
    <row r="15" spans="1:16" ht="12.75" customHeight="1" thickBot="1" x14ac:dyDescent="0.25">
      <c r="A15" s="45" t="str">
        <f t="shared" si="0"/>
        <v> BBS 129 </v>
      </c>
      <c r="B15" s="5" t="str">
        <f t="shared" si="1"/>
        <v>II</v>
      </c>
      <c r="C15" s="45">
        <f t="shared" si="2"/>
        <v>52585.335299999999</v>
      </c>
      <c r="D15" s="10" t="str">
        <f t="shared" si="3"/>
        <v>vis</v>
      </c>
      <c r="E15" s="53">
        <f>VLOOKUP(C15,Active!C$21:E$973,3,FALSE)</f>
        <v>25197.680075067288</v>
      </c>
      <c r="F15" s="5" t="s">
        <v>57</v>
      </c>
      <c r="G15" s="10" t="str">
        <f t="shared" si="4"/>
        <v>52585.3353</v>
      </c>
      <c r="H15" s="45">
        <f t="shared" si="5"/>
        <v>25197.5</v>
      </c>
      <c r="I15" s="54" t="s">
        <v>86</v>
      </c>
      <c r="J15" s="55" t="s">
        <v>87</v>
      </c>
      <c r="K15" s="54">
        <v>25197.5</v>
      </c>
      <c r="L15" s="54" t="s">
        <v>88</v>
      </c>
      <c r="M15" s="55" t="s">
        <v>62</v>
      </c>
      <c r="N15" s="55" t="s">
        <v>63</v>
      </c>
      <c r="O15" s="56" t="s">
        <v>89</v>
      </c>
      <c r="P15" s="56" t="s">
        <v>90</v>
      </c>
    </row>
    <row r="16" spans="1:16" ht="12.75" customHeight="1" thickBot="1" x14ac:dyDescent="0.25">
      <c r="A16" s="45" t="str">
        <f t="shared" si="0"/>
        <v>BAVM 173 </v>
      </c>
      <c r="B16" s="5" t="str">
        <f t="shared" si="1"/>
        <v>I</v>
      </c>
      <c r="C16" s="45">
        <f t="shared" si="2"/>
        <v>53258.606500000002</v>
      </c>
      <c r="D16" s="10" t="str">
        <f t="shared" si="3"/>
        <v>vis</v>
      </c>
      <c r="E16" s="53">
        <f>VLOOKUP(C16,Active!C$21:E$973,3,FALSE)</f>
        <v>26385.195199644422</v>
      </c>
      <c r="F16" s="5" t="s">
        <v>57</v>
      </c>
      <c r="G16" s="10" t="str">
        <f t="shared" si="4"/>
        <v>53258.6065</v>
      </c>
      <c r="H16" s="45">
        <f t="shared" si="5"/>
        <v>26385</v>
      </c>
      <c r="I16" s="54" t="s">
        <v>91</v>
      </c>
      <c r="J16" s="55" t="s">
        <v>92</v>
      </c>
      <c r="K16" s="54">
        <v>26385</v>
      </c>
      <c r="L16" s="54" t="s">
        <v>93</v>
      </c>
      <c r="M16" s="55" t="s">
        <v>62</v>
      </c>
      <c r="N16" s="55" t="s">
        <v>75</v>
      </c>
      <c r="O16" s="56" t="s">
        <v>94</v>
      </c>
      <c r="P16" s="57" t="s">
        <v>95</v>
      </c>
    </row>
    <row r="17" spans="1:16" ht="12.75" customHeight="1" thickBot="1" x14ac:dyDescent="0.25">
      <c r="A17" s="45" t="str">
        <f t="shared" si="0"/>
        <v>BAVM 178 </v>
      </c>
      <c r="B17" s="5" t="str">
        <f t="shared" si="1"/>
        <v>II</v>
      </c>
      <c r="C17" s="45">
        <f t="shared" si="2"/>
        <v>53928.466999999997</v>
      </c>
      <c r="D17" s="10" t="str">
        <f t="shared" si="3"/>
        <v>vis</v>
      </c>
      <c r="E17" s="53">
        <f>VLOOKUP(C17,Active!C$21:E$973,3,FALSE)</f>
        <v>27566.69453469216</v>
      </c>
      <c r="F17" s="5" t="s">
        <v>57</v>
      </c>
      <c r="G17" s="10" t="str">
        <f t="shared" si="4"/>
        <v>53928.4670</v>
      </c>
      <c r="H17" s="45">
        <f t="shared" si="5"/>
        <v>27566.5</v>
      </c>
      <c r="I17" s="54" t="s">
        <v>96</v>
      </c>
      <c r="J17" s="55" t="s">
        <v>97</v>
      </c>
      <c r="K17" s="54">
        <v>27566.5</v>
      </c>
      <c r="L17" s="54" t="s">
        <v>98</v>
      </c>
      <c r="M17" s="55" t="s">
        <v>74</v>
      </c>
      <c r="N17" s="55" t="s">
        <v>99</v>
      </c>
      <c r="O17" s="56" t="s">
        <v>94</v>
      </c>
      <c r="P17" s="57" t="s">
        <v>100</v>
      </c>
    </row>
    <row r="18" spans="1:16" ht="12.75" customHeight="1" thickBot="1" x14ac:dyDescent="0.25">
      <c r="A18" s="45" t="str">
        <f t="shared" si="0"/>
        <v>BAVM 214 </v>
      </c>
      <c r="B18" s="5" t="str">
        <f t="shared" si="1"/>
        <v>I</v>
      </c>
      <c r="C18" s="45">
        <f t="shared" si="2"/>
        <v>55294.566200000001</v>
      </c>
      <c r="D18" s="10" t="str">
        <f t="shared" si="3"/>
        <v>vis</v>
      </c>
      <c r="E18" s="53">
        <f>VLOOKUP(C18,Active!C$21:E$973,3,FALSE)</f>
        <v>29976.21904973561</v>
      </c>
      <c r="F18" s="5" t="s">
        <v>57</v>
      </c>
      <c r="G18" s="10" t="str">
        <f t="shared" si="4"/>
        <v>55294.5662</v>
      </c>
      <c r="H18" s="45">
        <f t="shared" si="5"/>
        <v>29976</v>
      </c>
      <c r="I18" s="54" t="s">
        <v>106</v>
      </c>
      <c r="J18" s="55" t="s">
        <v>107</v>
      </c>
      <c r="K18" s="54" t="s">
        <v>108</v>
      </c>
      <c r="L18" s="54" t="s">
        <v>109</v>
      </c>
      <c r="M18" s="55" t="s">
        <v>74</v>
      </c>
      <c r="N18" s="55" t="s">
        <v>75</v>
      </c>
      <c r="O18" s="56" t="s">
        <v>110</v>
      </c>
      <c r="P18" s="57" t="s">
        <v>111</v>
      </c>
    </row>
    <row r="19" spans="1:16" ht="12.75" customHeight="1" thickBot="1" x14ac:dyDescent="0.25">
      <c r="A19" s="45" t="str">
        <f t="shared" si="0"/>
        <v>BAVM 228 </v>
      </c>
      <c r="B19" s="5" t="str">
        <f t="shared" si="1"/>
        <v>I</v>
      </c>
      <c r="C19" s="45">
        <f t="shared" si="2"/>
        <v>56010.636500000001</v>
      </c>
      <c r="D19" s="10" t="str">
        <f t="shared" si="3"/>
        <v>vis</v>
      </c>
      <c r="E19" s="53">
        <f>VLOOKUP(C19,Active!C$21:E$973,3,FALSE)</f>
        <v>31239.223187608255</v>
      </c>
      <c r="F19" s="5" t="s">
        <v>57</v>
      </c>
      <c r="G19" s="10" t="str">
        <f t="shared" si="4"/>
        <v>56010.6365</v>
      </c>
      <c r="H19" s="45">
        <f t="shared" si="5"/>
        <v>31239</v>
      </c>
      <c r="I19" s="54" t="s">
        <v>123</v>
      </c>
      <c r="J19" s="55" t="s">
        <v>124</v>
      </c>
      <c r="K19" s="54" t="s">
        <v>125</v>
      </c>
      <c r="L19" s="54" t="s">
        <v>126</v>
      </c>
      <c r="M19" s="55" t="s">
        <v>74</v>
      </c>
      <c r="N19" s="55" t="s">
        <v>75</v>
      </c>
      <c r="O19" s="56" t="s">
        <v>110</v>
      </c>
      <c r="P19" s="57" t="s">
        <v>127</v>
      </c>
    </row>
    <row r="20" spans="1:16" ht="12.75" customHeight="1" thickBot="1" x14ac:dyDescent="0.25">
      <c r="A20" s="45" t="str">
        <f t="shared" si="0"/>
        <v> BBS 126 </v>
      </c>
      <c r="B20" s="5" t="str">
        <f t="shared" si="1"/>
        <v>I</v>
      </c>
      <c r="C20" s="45">
        <f t="shared" si="2"/>
        <v>52093.5</v>
      </c>
      <c r="D20" s="10" t="str">
        <f t="shared" si="3"/>
        <v>vis</v>
      </c>
      <c r="E20" s="53">
        <f>VLOOKUP(C20,Active!C$21:E$973,3,FALSE)</f>
        <v>24330.181424373586</v>
      </c>
      <c r="F20" s="5" t="s">
        <v>57</v>
      </c>
      <c r="G20" s="10" t="str">
        <f t="shared" si="4"/>
        <v>52093.5000</v>
      </c>
      <c r="H20" s="45">
        <f t="shared" si="5"/>
        <v>24330</v>
      </c>
      <c r="I20" s="54" t="s">
        <v>66</v>
      </c>
      <c r="J20" s="55" t="s">
        <v>67</v>
      </c>
      <c r="K20" s="54">
        <v>24330</v>
      </c>
      <c r="L20" s="54" t="s">
        <v>68</v>
      </c>
      <c r="M20" s="55" t="s">
        <v>62</v>
      </c>
      <c r="N20" s="55" t="s">
        <v>63</v>
      </c>
      <c r="O20" s="56" t="s">
        <v>69</v>
      </c>
      <c r="P20" s="56" t="s">
        <v>70</v>
      </c>
    </row>
    <row r="21" spans="1:16" ht="12.75" customHeight="1" thickBot="1" x14ac:dyDescent="0.25">
      <c r="A21" s="45" t="str">
        <f t="shared" si="0"/>
        <v>BAVM 203 </v>
      </c>
      <c r="B21" s="5" t="str">
        <f t="shared" si="1"/>
        <v>I</v>
      </c>
      <c r="C21" s="45">
        <f t="shared" si="2"/>
        <v>54697.555500000002</v>
      </c>
      <c r="D21" s="10" t="str">
        <f t="shared" si="3"/>
        <v>vis</v>
      </c>
      <c r="E21" s="53">
        <f>VLOOKUP(C21,Active!C$21:E$973,3,FALSE)</f>
        <v>28923.212125060414</v>
      </c>
      <c r="F21" s="5" t="s">
        <v>57</v>
      </c>
      <c r="G21" s="10" t="str">
        <f t="shared" si="4"/>
        <v>54697.5555</v>
      </c>
      <c r="H21" s="45">
        <f t="shared" si="5"/>
        <v>28923</v>
      </c>
      <c r="I21" s="54" t="s">
        <v>101</v>
      </c>
      <c r="J21" s="55" t="s">
        <v>102</v>
      </c>
      <c r="K21" s="54" t="s">
        <v>103</v>
      </c>
      <c r="L21" s="54" t="s">
        <v>104</v>
      </c>
      <c r="M21" s="55" t="s">
        <v>74</v>
      </c>
      <c r="N21" s="55" t="s">
        <v>99</v>
      </c>
      <c r="O21" s="56" t="s">
        <v>94</v>
      </c>
      <c r="P21" s="57" t="s">
        <v>105</v>
      </c>
    </row>
    <row r="22" spans="1:16" ht="12.75" customHeight="1" thickBot="1" x14ac:dyDescent="0.25">
      <c r="A22" s="45" t="str">
        <f t="shared" si="0"/>
        <v>BAVM 220 </v>
      </c>
      <c r="B22" s="5" t="str">
        <f t="shared" si="1"/>
        <v>I</v>
      </c>
      <c r="C22" s="45">
        <f t="shared" si="2"/>
        <v>55650.616199999997</v>
      </c>
      <c r="D22" s="10" t="str">
        <f t="shared" si="3"/>
        <v>vis</v>
      </c>
      <c r="E22" s="53">
        <f>VLOOKUP(C22,Active!C$21:E$973,3,FALSE)</f>
        <v>30604.219712924056</v>
      </c>
      <c r="F22" s="5" t="s">
        <v>57</v>
      </c>
      <c r="G22" s="10" t="str">
        <f t="shared" si="4"/>
        <v>55650.6162</v>
      </c>
      <c r="H22" s="45">
        <f t="shared" si="5"/>
        <v>30604</v>
      </c>
      <c r="I22" s="54" t="s">
        <v>112</v>
      </c>
      <c r="J22" s="55" t="s">
        <v>113</v>
      </c>
      <c r="K22" s="54" t="s">
        <v>114</v>
      </c>
      <c r="L22" s="54" t="s">
        <v>115</v>
      </c>
      <c r="M22" s="55" t="s">
        <v>74</v>
      </c>
      <c r="N22" s="55" t="s">
        <v>75</v>
      </c>
      <c r="O22" s="56" t="s">
        <v>110</v>
      </c>
      <c r="P22" s="57" t="s">
        <v>116</v>
      </c>
    </row>
    <row r="23" spans="1:16" ht="12.75" customHeight="1" thickBot="1" x14ac:dyDescent="0.25">
      <c r="A23" s="45" t="str">
        <f t="shared" si="0"/>
        <v>BAVM 225 </v>
      </c>
      <c r="B23" s="5" t="str">
        <f t="shared" si="1"/>
        <v>I</v>
      </c>
      <c r="C23" s="45">
        <f t="shared" si="2"/>
        <v>55851.3197</v>
      </c>
      <c r="D23" s="10" t="str">
        <f t="shared" si="3"/>
        <v>vis</v>
      </c>
      <c r="E23" s="53">
        <f>VLOOKUP(C23,Active!C$21:E$973,3,FALSE)</f>
        <v>30958.220362002125</v>
      </c>
      <c r="F23" s="5" t="s">
        <v>57</v>
      </c>
      <c r="G23" s="10" t="str">
        <f t="shared" si="4"/>
        <v>55851.3197</v>
      </c>
      <c r="H23" s="45">
        <f t="shared" si="5"/>
        <v>30958</v>
      </c>
      <c r="I23" s="54" t="s">
        <v>117</v>
      </c>
      <c r="J23" s="55" t="s">
        <v>118</v>
      </c>
      <c r="K23" s="54" t="s">
        <v>119</v>
      </c>
      <c r="L23" s="54" t="s">
        <v>120</v>
      </c>
      <c r="M23" s="55" t="s">
        <v>74</v>
      </c>
      <c r="N23" s="55" t="s">
        <v>75</v>
      </c>
      <c r="O23" s="56" t="s">
        <v>121</v>
      </c>
      <c r="P23" s="57" t="s">
        <v>122</v>
      </c>
    </row>
    <row r="24" spans="1:16" x14ac:dyDescent="0.2">
      <c r="B24" s="5"/>
      <c r="F24" s="5"/>
    </row>
    <row r="25" spans="1:16" x14ac:dyDescent="0.2">
      <c r="B25" s="5"/>
      <c r="F25" s="5"/>
    </row>
    <row r="26" spans="1:16" x14ac:dyDescent="0.2">
      <c r="B26" s="5"/>
      <c r="F26" s="5"/>
    </row>
    <row r="27" spans="1:16" x14ac:dyDescent="0.2">
      <c r="B27" s="5"/>
      <c r="F27" s="5"/>
    </row>
    <row r="28" spans="1:16" x14ac:dyDescent="0.2">
      <c r="B28" s="5"/>
      <c r="F28" s="5"/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</sheetData>
  <phoneticPr fontId="7" type="noConversion"/>
  <hyperlinks>
    <hyperlink ref="P11" r:id="rId1" display="http://www.konkoly.hu/cgi-bin/IBVS?5263"/>
    <hyperlink ref="P12" r:id="rId2" display="http://var.astro.cz/oejv/issues/oejv0074.pdf"/>
    <hyperlink ref="P13" r:id="rId3" display="http://var.astro.cz/oejv/issues/oejv0074.pdf"/>
    <hyperlink ref="P14" r:id="rId4" display="http://var.astro.cz/oejv/issues/oejv0074.pdf"/>
    <hyperlink ref="P16" r:id="rId5" display="http://www.bav-astro.de/sfs/BAVM_link.php?BAVMnr=173"/>
    <hyperlink ref="P17" r:id="rId6" display="http://www.bav-astro.de/sfs/BAVM_link.php?BAVMnr=178"/>
    <hyperlink ref="P21" r:id="rId7" display="http://www.bav-astro.de/sfs/BAVM_link.php?BAVMnr=203"/>
    <hyperlink ref="P18" r:id="rId8" display="http://www.bav-astro.de/sfs/BAVM_link.php?BAVMnr=214"/>
    <hyperlink ref="P22" r:id="rId9" display="http://www.bav-astro.de/sfs/BAVM_link.php?BAVMnr=220"/>
    <hyperlink ref="P23" r:id="rId10" display="http://www.bav-astro.de/sfs/BAVM_link.php?BAVMnr=225"/>
    <hyperlink ref="P19" r:id="rId11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2024-01-31T03:58:08Z</dcterms:modified>
</cp:coreProperties>
</file>