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7E00B94-51BA-40E7-B863-21F4ED7247E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92" i="1"/>
  <c r="E91" i="1"/>
  <c r="F91" i="1"/>
  <c r="Q90" i="1"/>
  <c r="Q91" i="1"/>
  <c r="C8" i="1"/>
  <c r="E61" i="1"/>
  <c r="F61" i="1"/>
  <c r="E31" i="1"/>
  <c r="F31" i="1"/>
  <c r="E30" i="1"/>
  <c r="F30" i="1"/>
  <c r="Q89" i="1"/>
  <c r="E21" i="1"/>
  <c r="F21" i="1"/>
  <c r="E25" i="1"/>
  <c r="E33" i="2"/>
  <c r="E28" i="1"/>
  <c r="F28" i="1"/>
  <c r="E33" i="1"/>
  <c r="E41" i="2"/>
  <c r="E35" i="1"/>
  <c r="F35" i="1"/>
  <c r="G35" i="1"/>
  <c r="H35" i="1"/>
  <c r="E38" i="1"/>
  <c r="F38" i="1"/>
  <c r="G38" i="1"/>
  <c r="I38" i="1"/>
  <c r="E41" i="1"/>
  <c r="E49" i="2"/>
  <c r="E43" i="1"/>
  <c r="F43" i="1"/>
  <c r="G43" i="1"/>
  <c r="I43" i="1"/>
  <c r="E44" i="1"/>
  <c r="F44" i="1"/>
  <c r="E46" i="1"/>
  <c r="F46" i="1"/>
  <c r="G46" i="1"/>
  <c r="I46" i="1"/>
  <c r="E49" i="1"/>
  <c r="E57" i="2"/>
  <c r="E51" i="1"/>
  <c r="F51" i="1"/>
  <c r="G51" i="1"/>
  <c r="I51" i="1"/>
  <c r="E52" i="1"/>
  <c r="F52" i="1"/>
  <c r="E54" i="1"/>
  <c r="F54" i="1"/>
  <c r="G54" i="1"/>
  <c r="I54" i="1"/>
  <c r="E57" i="1"/>
  <c r="E65" i="2"/>
  <c r="E58" i="1"/>
  <c r="F58" i="1"/>
  <c r="G58" i="1"/>
  <c r="I58" i="1"/>
  <c r="E59" i="1"/>
  <c r="F59" i="1"/>
  <c r="G59" i="1"/>
  <c r="I59" i="1"/>
  <c r="E60" i="1"/>
  <c r="F60" i="1"/>
  <c r="G60" i="1"/>
  <c r="I60" i="1"/>
  <c r="E62" i="1"/>
  <c r="F62" i="1"/>
  <c r="G62" i="1"/>
  <c r="K62" i="1"/>
  <c r="E63" i="1"/>
  <c r="F63" i="1"/>
  <c r="G63" i="1"/>
  <c r="K63" i="1"/>
  <c r="E87" i="1"/>
  <c r="F87" i="1"/>
  <c r="E89" i="1"/>
  <c r="F89" i="1"/>
  <c r="G89" i="1"/>
  <c r="K90" i="1"/>
  <c r="E66" i="1"/>
  <c r="F66" i="1"/>
  <c r="G66" i="1"/>
  <c r="I66" i="1"/>
  <c r="E67" i="1"/>
  <c r="F67" i="1"/>
  <c r="G67" i="1"/>
  <c r="J67" i="1"/>
  <c r="E68" i="1"/>
  <c r="F68" i="1"/>
  <c r="G68" i="1"/>
  <c r="K68" i="1"/>
  <c r="E74" i="1"/>
  <c r="F74" i="1"/>
  <c r="G74" i="1"/>
  <c r="E75" i="1"/>
  <c r="F75" i="1"/>
  <c r="G75" i="1"/>
  <c r="J75" i="1"/>
  <c r="E76" i="1"/>
  <c r="F76" i="1"/>
  <c r="G76" i="1"/>
  <c r="J76" i="1"/>
  <c r="E79" i="1"/>
  <c r="F79" i="1"/>
  <c r="G79" i="1"/>
  <c r="J79" i="1"/>
  <c r="E80" i="1"/>
  <c r="F80" i="1"/>
  <c r="G80" i="1"/>
  <c r="J80" i="1"/>
  <c r="E88" i="1"/>
  <c r="F88" i="1"/>
  <c r="G88" i="1"/>
  <c r="E69" i="1"/>
  <c r="F69" i="1"/>
  <c r="G69" i="1"/>
  <c r="E70" i="1"/>
  <c r="F70" i="1"/>
  <c r="G70" i="1"/>
  <c r="K70" i="1"/>
  <c r="E71" i="1"/>
  <c r="F71" i="1"/>
  <c r="G71" i="1"/>
  <c r="K71" i="1"/>
  <c r="E72" i="1"/>
  <c r="F72" i="1"/>
  <c r="G72" i="1"/>
  <c r="K72" i="1"/>
  <c r="E73" i="1"/>
  <c r="F73" i="1"/>
  <c r="G73" i="1"/>
  <c r="K73" i="1"/>
  <c r="E78" i="1"/>
  <c r="F78" i="1"/>
  <c r="G78" i="1"/>
  <c r="K78" i="1"/>
  <c r="E81" i="1"/>
  <c r="F81" i="1"/>
  <c r="G81" i="1"/>
  <c r="K81" i="1"/>
  <c r="E82" i="1"/>
  <c r="F82" i="1"/>
  <c r="G82" i="1"/>
  <c r="K82" i="1"/>
  <c r="E83" i="1"/>
  <c r="F83" i="1"/>
  <c r="G83" i="1"/>
  <c r="E84" i="1"/>
  <c r="F84" i="1"/>
  <c r="G84" i="1"/>
  <c r="K84" i="1"/>
  <c r="E85" i="1"/>
  <c r="F85" i="1"/>
  <c r="G85" i="1"/>
  <c r="K85" i="1"/>
  <c r="E86" i="1"/>
  <c r="F86" i="1"/>
  <c r="E64" i="1"/>
  <c r="F64" i="1"/>
  <c r="E65" i="1"/>
  <c r="F65" i="1"/>
  <c r="E77" i="1"/>
  <c r="F77" i="1"/>
  <c r="G77" i="1"/>
  <c r="J77" i="1"/>
  <c r="Q87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77" i="2"/>
  <c r="C77" i="2"/>
  <c r="E77" i="2"/>
  <c r="G29" i="2"/>
  <c r="C29" i="2"/>
  <c r="E29" i="2"/>
  <c r="G76" i="2"/>
  <c r="C76" i="2"/>
  <c r="E76" i="2"/>
  <c r="G75" i="2"/>
  <c r="C75" i="2"/>
  <c r="E75" i="2"/>
  <c r="G74" i="2"/>
  <c r="C74" i="2"/>
  <c r="E74" i="2"/>
  <c r="G73" i="2"/>
  <c r="C73" i="2"/>
  <c r="E73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72" i="2"/>
  <c r="C72" i="2"/>
  <c r="E72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G64" i="2"/>
  <c r="C64" i="2"/>
  <c r="G63" i="2"/>
  <c r="C63" i="2"/>
  <c r="G62" i="2"/>
  <c r="C62" i="2"/>
  <c r="E62" i="2"/>
  <c r="G61" i="2"/>
  <c r="C61" i="2"/>
  <c r="G60" i="2"/>
  <c r="C60" i="2"/>
  <c r="E60" i="2"/>
  <c r="G59" i="2"/>
  <c r="C59" i="2"/>
  <c r="E59" i="2"/>
  <c r="G58" i="2"/>
  <c r="C58" i="2"/>
  <c r="G57" i="2"/>
  <c r="C57" i="2"/>
  <c r="G56" i="2"/>
  <c r="C56" i="2"/>
  <c r="G55" i="2"/>
  <c r="C55" i="2"/>
  <c r="G54" i="2"/>
  <c r="C54" i="2"/>
  <c r="E54" i="2"/>
  <c r="G53" i="2"/>
  <c r="C53" i="2"/>
  <c r="G52" i="2"/>
  <c r="C52" i="2"/>
  <c r="E52" i="2"/>
  <c r="G51" i="2"/>
  <c r="C51" i="2"/>
  <c r="E51" i="2"/>
  <c r="G50" i="2"/>
  <c r="C50" i="2"/>
  <c r="G49" i="2"/>
  <c r="C49" i="2"/>
  <c r="G48" i="2"/>
  <c r="C48" i="2"/>
  <c r="G47" i="2"/>
  <c r="C47" i="2"/>
  <c r="G46" i="2"/>
  <c r="C46" i="2"/>
  <c r="E46" i="2"/>
  <c r="G45" i="2"/>
  <c r="C45" i="2"/>
  <c r="G44" i="2"/>
  <c r="C44" i="2"/>
  <c r="G43" i="2"/>
  <c r="C43" i="2"/>
  <c r="E43" i="2"/>
  <c r="G42" i="2"/>
  <c r="C42" i="2"/>
  <c r="G41" i="2"/>
  <c r="C41" i="2"/>
  <c r="G40" i="2"/>
  <c r="C40" i="2"/>
  <c r="G39" i="2"/>
  <c r="C39" i="2"/>
  <c r="E39" i="2"/>
  <c r="G38" i="2"/>
  <c r="C38" i="2"/>
  <c r="E38" i="2"/>
  <c r="G37" i="2"/>
  <c r="C37" i="2"/>
  <c r="G36" i="2"/>
  <c r="C36" i="2"/>
  <c r="E36" i="2"/>
  <c r="G35" i="2"/>
  <c r="C35" i="2"/>
  <c r="G34" i="2"/>
  <c r="C34" i="2"/>
  <c r="G33" i="2"/>
  <c r="C33" i="2"/>
  <c r="G32" i="2"/>
  <c r="C32" i="2"/>
  <c r="G31" i="2"/>
  <c r="C31" i="2"/>
  <c r="G30" i="2"/>
  <c r="C30" i="2"/>
  <c r="E30" i="2"/>
  <c r="H77" i="2"/>
  <c r="D77" i="2"/>
  <c r="B77" i="2"/>
  <c r="A77" i="2"/>
  <c r="H29" i="2"/>
  <c r="D29" i="2"/>
  <c r="B29" i="2"/>
  <c r="A29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72" i="2"/>
  <c r="D72" i="2"/>
  <c r="B72" i="2"/>
  <c r="A72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Q88" i="1"/>
  <c r="F16" i="1"/>
  <c r="C17" i="1"/>
  <c r="K69" i="1"/>
  <c r="Q69" i="1"/>
  <c r="Q70" i="1"/>
  <c r="Q71" i="1"/>
  <c r="Q72" i="1"/>
  <c r="Q73" i="1"/>
  <c r="Q78" i="1"/>
  <c r="Q81" i="1"/>
  <c r="Q82" i="1"/>
  <c r="K83" i="1"/>
  <c r="Q83" i="1"/>
  <c r="Q84" i="1"/>
  <c r="Q85" i="1"/>
  <c r="Q86" i="1"/>
  <c r="Q79" i="1"/>
  <c r="Q80" i="1"/>
  <c r="Q76" i="1"/>
  <c r="Q77" i="1"/>
  <c r="Q64" i="1"/>
  <c r="Q65" i="1"/>
  <c r="Q66" i="1"/>
  <c r="Q67" i="1"/>
  <c r="Q75" i="1"/>
  <c r="Q68" i="1"/>
  <c r="K74" i="1"/>
  <c r="Q74" i="1"/>
  <c r="Q22" i="1"/>
  <c r="J88" i="1"/>
  <c r="I89" i="1"/>
  <c r="E63" i="2"/>
  <c r="U91" i="1"/>
  <c r="E45" i="2"/>
  <c r="E50" i="2"/>
  <c r="E56" i="2"/>
  <c r="E32" i="2"/>
  <c r="F57" i="1"/>
  <c r="G57" i="1"/>
  <c r="I57" i="1"/>
  <c r="F49" i="1"/>
  <c r="F41" i="1"/>
  <c r="G41" i="1"/>
  <c r="I41" i="1"/>
  <c r="E36" i="1"/>
  <c r="F36" i="1"/>
  <c r="F33" i="1"/>
  <c r="G28" i="1"/>
  <c r="H28" i="1"/>
  <c r="F25" i="1"/>
  <c r="G25" i="1"/>
  <c r="H25" i="1"/>
  <c r="G21" i="1"/>
  <c r="H21" i="1"/>
  <c r="G61" i="1"/>
  <c r="I61" i="1"/>
  <c r="G64" i="1"/>
  <c r="J64" i="1"/>
  <c r="G90" i="1"/>
  <c r="E56" i="1"/>
  <c r="F56" i="1"/>
  <c r="G56" i="1"/>
  <c r="I56" i="1"/>
  <c r="E48" i="1"/>
  <c r="F48" i="1"/>
  <c r="G48" i="1"/>
  <c r="I48" i="1"/>
  <c r="G42" i="1"/>
  <c r="I42" i="1"/>
  <c r="E40" i="1"/>
  <c r="F40" i="1"/>
  <c r="G40" i="1"/>
  <c r="I40" i="1"/>
  <c r="E32" i="1"/>
  <c r="F32" i="1"/>
  <c r="G32" i="1"/>
  <c r="H32" i="1"/>
  <c r="G26" i="1"/>
  <c r="H26" i="1"/>
  <c r="E24" i="1"/>
  <c r="F24" i="1"/>
  <c r="G24" i="1"/>
  <c r="H24" i="1"/>
  <c r="G87" i="1"/>
  <c r="U92" i="1"/>
  <c r="G55" i="1"/>
  <c r="I55" i="1"/>
  <c r="E53" i="1"/>
  <c r="F53" i="1"/>
  <c r="G53" i="1"/>
  <c r="I53" i="1"/>
  <c r="E45" i="1"/>
  <c r="F45" i="1"/>
  <c r="G45" i="1"/>
  <c r="I45" i="1"/>
  <c r="G39" i="1"/>
  <c r="I39" i="1"/>
  <c r="E37" i="1"/>
  <c r="F37" i="1"/>
  <c r="G37" i="1"/>
  <c r="I37" i="1"/>
  <c r="G31" i="1"/>
  <c r="H31" i="1"/>
  <c r="G23" i="1"/>
  <c r="H23" i="1"/>
  <c r="E27" i="1"/>
  <c r="F27" i="1"/>
  <c r="G27" i="1"/>
  <c r="H27" i="1"/>
  <c r="E90" i="1"/>
  <c r="F90" i="1"/>
  <c r="G52" i="1"/>
  <c r="I52" i="1"/>
  <c r="E50" i="1"/>
  <c r="F50" i="1"/>
  <c r="G50" i="1"/>
  <c r="I50" i="1"/>
  <c r="G44" i="1"/>
  <c r="I44" i="1"/>
  <c r="E42" i="1"/>
  <c r="F42" i="1"/>
  <c r="G36" i="1"/>
  <c r="H36" i="1"/>
  <c r="E34" i="1"/>
  <c r="F34" i="1"/>
  <c r="G34" i="1"/>
  <c r="H34" i="1"/>
  <c r="G30" i="1"/>
  <c r="H30" i="1"/>
  <c r="E26" i="1"/>
  <c r="F26" i="1"/>
  <c r="G65" i="1"/>
  <c r="G86" i="1"/>
  <c r="E92" i="1"/>
  <c r="F92" i="1"/>
  <c r="E55" i="1"/>
  <c r="F55" i="1"/>
  <c r="G49" i="1"/>
  <c r="I49" i="1"/>
  <c r="E47" i="1"/>
  <c r="F47" i="1"/>
  <c r="G47" i="1"/>
  <c r="I47" i="1"/>
  <c r="E39" i="1"/>
  <c r="F39" i="1"/>
  <c r="G33" i="1"/>
  <c r="H33" i="1"/>
  <c r="G29" i="1"/>
  <c r="H29" i="1"/>
  <c r="E23" i="1"/>
  <c r="F23" i="1"/>
  <c r="E29" i="1"/>
  <c r="F29" i="1"/>
  <c r="E22" i="1"/>
  <c r="F22" i="1"/>
  <c r="G22" i="1"/>
  <c r="H22" i="1"/>
  <c r="E42" i="2"/>
  <c r="E37" i="2"/>
  <c r="E40" i="2"/>
  <c r="E58" i="2"/>
  <c r="K86" i="1"/>
  <c r="E55" i="2"/>
  <c r="J65" i="1"/>
  <c r="K66" i="1"/>
  <c r="E47" i="2"/>
  <c r="E64" i="2"/>
  <c r="E48" i="2"/>
  <c r="E61" i="2"/>
  <c r="E44" i="2"/>
  <c r="E35" i="2"/>
  <c r="E31" i="2"/>
  <c r="E34" i="2"/>
  <c r="E53" i="2"/>
  <c r="C12" i="1"/>
  <c r="C11" i="1"/>
  <c r="O77" i="1" l="1"/>
  <c r="O91" i="1"/>
  <c r="O84" i="1"/>
  <c r="O74" i="1"/>
  <c r="C15" i="1"/>
  <c r="F18" i="1" s="1"/>
  <c r="O92" i="1"/>
  <c r="O76" i="1"/>
  <c r="O65" i="1"/>
  <c r="O63" i="1"/>
  <c r="O85" i="1"/>
  <c r="O81" i="1"/>
  <c r="O66" i="1"/>
  <c r="O64" i="1"/>
  <c r="O88" i="1"/>
  <c r="O86" i="1"/>
  <c r="O82" i="1"/>
  <c r="O90" i="1"/>
  <c r="O72" i="1"/>
  <c r="O79" i="1"/>
  <c r="O87" i="1"/>
  <c r="O73" i="1"/>
  <c r="O60" i="1"/>
  <c r="O75" i="1"/>
  <c r="O89" i="1"/>
  <c r="O67" i="1"/>
  <c r="O71" i="1"/>
  <c r="O80" i="1"/>
  <c r="O61" i="1"/>
  <c r="O69" i="1"/>
  <c r="O68" i="1"/>
  <c r="O62" i="1"/>
  <c r="O78" i="1"/>
  <c r="O83" i="1"/>
  <c r="O70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<sst xmlns="http://schemas.openxmlformats.org/spreadsheetml/2006/main" count="746" uniqueCount="307">
  <si>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</si>
  <si>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</si>
  <si>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</si>
  <si>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</si>
  <si>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</si>
  <si>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</si>
  <si>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</si>
  <si>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</si>
  <si>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</si>
  <si>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</si>
  <si>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</si>
  <si>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</si>
  <si>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</si>
  <si>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</si>
  <si>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</si>
  <si>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</si>
  <si>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</si>
  <si>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</si>
  <si>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</si>
  <si>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</si>
  <si>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</si>
  <si>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</si>
  <si>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</si>
  <si>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</si>
  <si>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</si>
  <si>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</si>
  <si>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</si>
  <si>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</si>
  <si>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GCVS 4</t>
  </si>
  <si>
    <t>Sp: F0</t>
  </si>
  <si>
    <t>Mag:  11.7-12.4</t>
  </si>
  <si>
    <t>EB</t>
  </si>
  <si>
    <t>IBVS 4222</t>
  </si>
  <si>
    <t>BBSAG Bull.113</t>
  </si>
  <si>
    <t>IBVS 4711</t>
  </si>
  <si>
    <t>IBVS 5484</t>
  </si>
  <si>
    <t>IBVS 5287</t>
  </si>
  <si>
    <t>I</t>
  </si>
  <si>
    <t>IBVS 5378</t>
  </si>
  <si>
    <t>II</t>
  </si>
  <si>
    <t>IBVS 5643</t>
  </si>
  <si>
    <t># of data points:</t>
  </si>
  <si>
    <t>V505 Cyg / GSC 02689-00728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</si>
  <si>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</si>
  <si>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</si>
  <si>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</si>
  <si>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</si>
  <si>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</si>
  <si>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</si>
  <si>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</si>
  <si>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OEJV 0074</t>
  </si>
  <si>
    <t>vis</t>
  </si>
  <si>
    <t>CCD+V</t>
  </si>
  <si>
    <t>CCD</t>
  </si>
  <si>
    <t>OEJV 0094</t>
  </si>
  <si>
    <t>Add cycle</t>
  </si>
  <si>
    <t>Old Cycle</t>
  </si>
  <si>
    <t>IBVS 6010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</si>
  <si>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</si>
  <si>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</si>
  <si>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</si>
  <si>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</si>
  <si>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</si>
  <si>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</si>
  <si>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</si>
  <si>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</si>
  <si>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</si>
  <si>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2428097.444 </t>
  </si>
  <si>
    <t> 21.10.1935 22:39 </t>
  </si>
  <si>
    <t> 0.021 </t>
  </si>
  <si>
    <t>P </t>
  </si>
  <si>
    <t> A.A.Wachmann </t>
  </si>
  <si>
    <t> AAAN 11.5.47 </t>
  </si>
  <si>
    <t>2428099.441 </t>
  </si>
  <si>
    <t> 23.10.1935 22:35 </t>
  </si>
  <si>
    <t> 0.015 </t>
  </si>
  <si>
    <t>2428247.654 </t>
  </si>
  <si>
    <t> 20.03.1936 03:41 </t>
  </si>
  <si>
    <t> 0.005 </t>
  </si>
  <si>
    <t>2428336.454 </t>
  </si>
  <si>
    <t> 16.06.1936 22:53 </t>
  </si>
  <si>
    <t> 0.004 </t>
  </si>
  <si>
    <t>2428338.452 </t>
  </si>
  <si>
    <t> 18.06.1936 22:50 </t>
  </si>
  <si>
    <t> -0.001 </t>
  </si>
  <si>
    <t>2428366.470 </t>
  </si>
  <si>
    <t> 16.07.1936 23:16 </t>
  </si>
  <si>
    <t> -0.025 </t>
  </si>
  <si>
    <t>2428784.470 </t>
  </si>
  <si>
    <t> 07.09.1937 23:16 </t>
  </si>
  <si>
    <t> 0.013 </t>
  </si>
  <si>
    <t>2428806.476 </t>
  </si>
  <si>
    <t> 29.09.1937 23:25 </t>
  </si>
  <si>
    <t> -0.015 </t>
  </si>
  <si>
    <t>2428859.216 </t>
  </si>
  <si>
    <t> 21.11.1937 17:11 </t>
  </si>
  <si>
    <t> -0.021 </t>
  </si>
  <si>
    <t>2428865.230 </t>
  </si>
  <si>
    <t> 27.11.1937 17:31 </t>
  </si>
  <si>
    <t> -0.016 </t>
  </si>
  <si>
    <t>2429160.369 </t>
  </si>
  <si>
    <t> 18.09.1938 20:51 </t>
  </si>
  <si>
    <t> 0.012 </t>
  </si>
  <si>
    <t>2429166.374 </t>
  </si>
  <si>
    <t> 24.09.1938 20:58 </t>
  </si>
  <si>
    <t> 0.008 </t>
  </si>
  <si>
    <t>2429170.361 </t>
  </si>
  <si>
    <t> 28.09.1938 20:39 </t>
  </si>
  <si>
    <t> -0.011 </t>
  </si>
  <si>
    <t>2429192.396 </t>
  </si>
  <si>
    <t> 20.10.1938 21:30 </t>
  </si>
  <si>
    <t> -0.009 </t>
  </si>
  <si>
    <t>2429194.416 </t>
  </si>
  <si>
    <t> 22.10.1938 21:59 </t>
  </si>
  <si>
    <t>2429879.450 </t>
  </si>
  <si>
    <t> 06.09.1940 22:48 </t>
  </si>
  <si>
    <t> 0.010 </t>
  </si>
  <si>
    <t> E.Ahnert-Rohlfs </t>
  </si>
  <si>
    <t> VSS 2.147 </t>
  </si>
  <si>
    <t>2430546.452 </t>
  </si>
  <si>
    <t> 05.07.1942 22:50 </t>
  </si>
  <si>
    <t>2431229.504 </t>
  </si>
  <si>
    <t> 19.05.1944 00:05 </t>
  </si>
  <si>
    <t> 0.032 </t>
  </si>
  <si>
    <t>2431233.493 </t>
  </si>
  <si>
    <t> 22.05.1944 23:49 </t>
  </si>
  <si>
    <t>2431647.465 </t>
  </si>
  <si>
    <t> 10.07.1945 23:09 </t>
  </si>
  <si>
    <t> 0.030 </t>
  </si>
  <si>
    <t>2431671.453 </t>
  </si>
  <si>
    <t> 03.08.1945 22:52 </t>
  </si>
  <si>
    <t> -0.018 </t>
  </si>
  <si>
    <t>2431762.310 </t>
  </si>
  <si>
    <t> 02.11.1945 19:26 </t>
  </si>
  <si>
    <t> 0.035 </t>
  </si>
  <si>
    <t>2431936.524 </t>
  </si>
  <si>
    <t> 26.04.1946 00:34 </t>
  </si>
  <si>
    <t> -0.013 </t>
  </si>
  <si>
    <t>2432089.445 </t>
  </si>
  <si>
    <t> 25.09.1946 22:40 </t>
  </si>
  <si>
    <t> 0.011 </t>
  </si>
  <si>
    <t>2432354.468 </t>
  </si>
  <si>
    <t> 17.06.1947 23:13 </t>
  </si>
  <si>
    <t> -0.032 </t>
  </si>
  <si>
    <t>2433178.413 </t>
  </si>
  <si>
    <t> 18.09.1949 21:54 </t>
  </si>
  <si>
    <t> 0.006 </t>
  </si>
  <si>
    <t>2433558.313 </t>
  </si>
  <si>
    <t> 03.10.1950 19:30 </t>
  </si>
  <si>
    <t> 0.001 </t>
  </si>
  <si>
    <t>2433887.457 </t>
  </si>
  <si>
    <t> 28.08.1951 22:58 </t>
  </si>
  <si>
    <t>2433891.461 </t>
  </si>
  <si>
    <t> 01.09.1951 23:03 </t>
  </si>
  <si>
    <t> -0.020 </t>
  </si>
  <si>
    <t>2433895.444 </t>
  </si>
  <si>
    <t> 05.09.1951 22:39 </t>
  </si>
  <si>
    <t> -0.043 </t>
  </si>
  <si>
    <t>2436898.284 </t>
  </si>
  <si>
    <t> 25.11.1959 18:48 </t>
  </si>
  <si>
    <t> -0.057 </t>
  </si>
  <si>
    <t> K.Häussler </t>
  </si>
  <si>
    <t> HABZ 30 </t>
  </si>
  <si>
    <t>2437189.394 </t>
  </si>
  <si>
    <t> 11.09.1960 21:27 </t>
  </si>
  <si>
    <t> -0.052 </t>
  </si>
  <si>
    <t>2437190.370 </t>
  </si>
  <si>
    <t> 12.09.1960 20:52 </t>
  </si>
  <si>
    <t> -0.078 </t>
  </si>
  <si>
    <t>2437192.416 </t>
  </si>
  <si>
    <t> 14.09.1960 21:59 </t>
  </si>
  <si>
    <t> -0.035 </t>
  </si>
  <si>
    <t>2437202.423 </t>
  </si>
  <si>
    <t> 24.09.1960 22:09 </t>
  </si>
  <si>
    <t>2437575.310 </t>
  </si>
  <si>
    <t> 02.10.1961 19:26 </t>
  </si>
  <si>
    <t> -0.051 </t>
  </si>
  <si>
    <t>2437885.410 </t>
  </si>
  <si>
    <t> 08.08.1962 21:50 </t>
  </si>
  <si>
    <t> -0.085 </t>
  </si>
  <si>
    <t>2437886.446 </t>
  </si>
  <si>
    <t> 09.08.1962 22:42 </t>
  </si>
  <si>
    <t> -0.050 </t>
  </si>
  <si>
    <t>2438288.370 </t>
  </si>
  <si>
    <t> 15.09.1963 20:52 </t>
  </si>
  <si>
    <t> -0.065 </t>
  </si>
  <si>
    <t>2438289.363 </t>
  </si>
  <si>
    <t> 16.09.1963 20:42 </t>
  </si>
  <si>
    <t> -0.073 </t>
  </si>
  <si>
    <t>2449229.403 </t>
  </si>
  <si>
    <t> 29.08.1993 21:40 </t>
  </si>
  <si>
    <t> -0.173 </t>
  </si>
  <si>
    <t>E </t>
  </si>
  <si>
    <t>o</t>
  </si>
  <si>
    <t> F.Agerer </t>
  </si>
  <si>
    <t>BAVM 68 </t>
  </si>
  <si>
    <t>2449237.4113 </t>
  </si>
  <si>
    <t> 06.09.1993 21:52 </t>
  </si>
  <si>
    <t> -0.1764 </t>
  </si>
  <si>
    <t>2449637.3426 </t>
  </si>
  <si>
    <t> 11.10.1994 20:13 </t>
  </si>
  <si>
    <t> -0.1806 </t>
  </si>
  <si>
    <t>BAVM 80 </t>
  </si>
  <si>
    <t>2449640.3484 </t>
  </si>
  <si>
    <t> 14.10.1994 20:21 </t>
  </si>
  <si>
    <t> -0.1793 </t>
  </si>
  <si>
    <t>2450320.364 </t>
  </si>
  <si>
    <t> 24.08.1996 20:44 </t>
  </si>
  <si>
    <t> -0.188 </t>
  </si>
  <si>
    <t>?</t>
  </si>
  <si>
    <t> R.Diethelm </t>
  </si>
  <si>
    <t> BBS 113 </t>
  </si>
  <si>
    <t>2451034.4242 </t>
  </si>
  <si>
    <t> 08.08.1998 22:10 </t>
  </si>
  <si>
    <t> -0.2027 </t>
  </si>
  <si>
    <t>BAVM 117 </t>
  </si>
  <si>
    <t>2451697.4104 </t>
  </si>
  <si>
    <t> 01.06.2000 21:50 </t>
  </si>
  <si>
    <t> -0.2148 </t>
  </si>
  <si>
    <t> M.Zejda </t>
  </si>
  <si>
    <t>IBVS 5287 </t>
  </si>
  <si>
    <t>2451699.41400 </t>
  </si>
  <si>
    <t> 03.06.2000 21:56 </t>
  </si>
  <si>
    <t> -0.21418 </t>
  </si>
  <si>
    <t>C </t>
  </si>
  <si>
    <t> J.Šafár </t>
  </si>
  <si>
    <t>OEJV 0074 </t>
  </si>
  <si>
    <t>2451705.430 </t>
  </si>
  <si>
    <t> 09.06.2000 22:19 </t>
  </si>
  <si>
    <t> -0.207 </t>
  </si>
  <si>
    <t>V </t>
  </si>
  <si>
    <t> J.Zahajský </t>
  </si>
  <si>
    <t>2451707.42495 </t>
  </si>
  <si>
    <t> 11.06.2000 22:11 </t>
  </si>
  <si>
    <t> -0.21530 </t>
  </si>
  <si>
    <t>2451731.46260 </t>
  </si>
  <si>
    <t> 05.07.2000 23:06 </t>
  </si>
  <si>
    <t> -0.21384 </t>
  </si>
  <si>
    <t> P.Hájek </t>
  </si>
  <si>
    <t>2452427.49560 </t>
  </si>
  <si>
    <t> 01.06.2002 23:53 </t>
  </si>
  <si>
    <t> -0.22890 </t>
  </si>
  <si>
    <t> Motl et al. </t>
  </si>
  <si>
    <t>2452549.686 </t>
  </si>
  <si>
    <t> 02.10.2002 04:27 </t>
  </si>
  <si>
    <t> -0.222 </t>
  </si>
  <si>
    <t> S.Dvorak </t>
  </si>
  <si>
    <t>IBVS 5378 </t>
  </si>
  <si>
    <t>2452557.3589 </t>
  </si>
  <si>
    <t> 09.10.2002 20:36 </t>
  </si>
  <si>
    <t> -0.2278 </t>
  </si>
  <si>
    <t>BAVM 158 </t>
  </si>
  <si>
    <t>2452829.4290 </t>
  </si>
  <si>
    <t> 08.07.2003 22:17 </t>
  </si>
  <si>
    <t> -0.2340 </t>
  </si>
  <si>
    <t>BAVM 172 </t>
  </si>
  <si>
    <t>2453936.40267 </t>
  </si>
  <si>
    <t> 19.07.2006 21:39 </t>
  </si>
  <si>
    <t> -0.26055 </t>
  </si>
  <si>
    <t>R</t>
  </si>
  <si>
    <t> R.Ehrenberger </t>
  </si>
  <si>
    <t>2453989.4862 </t>
  </si>
  <si>
    <t> 10.09.2006 23:40 </t>
  </si>
  <si>
    <t> -0.2569 </t>
  </si>
  <si>
    <t>-I</t>
  </si>
  <si>
    <t> K.&amp; M.Rätz </t>
  </si>
  <si>
    <t>BAVM 186 </t>
  </si>
  <si>
    <t>2453991.4904 </t>
  </si>
  <si>
    <t> 12.09.2006 23:46 </t>
  </si>
  <si>
    <t>38780</t>
  </si>
  <si>
    <t> -0.2558 </t>
  </si>
  <si>
    <t>2454364.37069 </t>
  </si>
  <si>
    <t> 20.09.2007 20:53 </t>
  </si>
  <si>
    <t>39338.5</t>
  </si>
  <si>
    <t> -0.27028 </t>
  </si>
  <si>
    <t> L.Šmelcer </t>
  </si>
  <si>
    <t>2454364.37409 </t>
  </si>
  <si>
    <t> 20.09.2007 20:58 </t>
  </si>
  <si>
    <t> -0.26688 </t>
  </si>
  <si>
    <t>2454364.37439 </t>
  </si>
  <si>
    <t> 20.09.2007 20:59 </t>
  </si>
  <si>
    <t> -0.26658 </t>
  </si>
  <si>
    <t>2454611.4090 </t>
  </si>
  <si>
    <t> 24.05.2008 21:48 </t>
  </si>
  <si>
    <t>39708.5</t>
  </si>
  <si>
    <t> -0.2706 </t>
  </si>
  <si>
    <t>OEJV 0094 </t>
  </si>
  <si>
    <t>2454611.4093 </t>
  </si>
  <si>
    <t> 24.05.2008 21:49 </t>
  </si>
  <si>
    <t> -0.2703 </t>
  </si>
  <si>
    <t>2454697.5413 </t>
  </si>
  <si>
    <t> 19.08.2008 00:59 </t>
  </si>
  <si>
    <t>39837.5</t>
  </si>
  <si>
    <t> -0.2680 </t>
  </si>
  <si>
    <t>BAVM 203 </t>
  </si>
  <si>
    <t>2455644.6050 </t>
  </si>
  <si>
    <t> 24.03.2011 02:31 </t>
  </si>
  <si>
    <t> -0.2970 </t>
  </si>
  <si>
    <t> W.Moschner &amp; P.Frank </t>
  </si>
  <si>
    <t>BAVM 220 </t>
  </si>
  <si>
    <t>2455799.5023 </t>
  </si>
  <si>
    <t> 26.08.2011 00:03 </t>
  </si>
  <si>
    <t> -0.2996 </t>
  </si>
  <si>
    <t>BAVM 225 </t>
  </si>
  <si>
    <t>BAD?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</si>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</sst>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8" fillId="0" borderId="0"/>
    <xf numFmtId="0" fontId="28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5" xfId="0" applyBorder="1">
      <alignment vertical="top"/>
    </xf>
    <xf numFmtId="0" fontId="0" fillId="0" borderId="0" xfId="0">
      <alignment vertical="top"/>
    </xf>
    <xf numFmtId="0" fontId="7" fillId="0" borderId="0" xfId="0" applyFont="1">
      <alignment vertical="top"/>
    </xf>
    <xf numFmtId="0" fontId="3" fillId="0" borderId="0" xfId="0" applyFont="1" applyAlignment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5" fillId="24" borderId="17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172" fontId="20" fillId="0" borderId="0" xfId="0" applyNumberFormat="1" applyFont="1" applyAlignment="1">
      <alignment horizontal="left"/>
    </xf>
    <xf numFmtId="0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1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22" fillId="25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V0505 Cyg - O-C Diagr.</a:t>
            </a:r>
          </a:p>
        </c:rich>
      </c:tx>
      <c:layout>
        <c:manualLayout>
          <c:xMode val="edge"/>
          <c:yMode val="edge"/>
          <c:x val="0.3420078252300246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723926380368099"/>
          <c:w val="0.7843873289993038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-0.14866736700423644</c:v>
                </c:pt>
                <c:pt idx="1">
                  <c:v>-0.16965079300280195</c:v>
                </c:pt>
                <c:pt idx="2">
                  <c:v>-0.15465079300338402</c:v>
                </c:pt>
                <c:pt idx="3">
                  <c:v>-0.16242431700447924</c:v>
                </c:pt>
                <c:pt idx="4">
                  <c:v>-0.16135620299974107</c:v>
                </c:pt>
                <c:pt idx="5">
                  <c:v>-0.16633962900232291</c:v>
                </c:pt>
                <c:pt idx="6">
                  <c:v>-0.19010759299999336</c:v>
                </c:pt>
                <c:pt idx="7">
                  <c:v>-0.14598248500260524</c:v>
                </c:pt>
                <c:pt idx="8">
                  <c:v>-0.17280017100347322</c:v>
                </c:pt>
                <c:pt idx="9">
                  <c:v>-0.17803038900092361</c:v>
                </c:pt>
                <c:pt idx="10">
                  <c:v>-0.1729806670009566</c:v>
                </c:pt>
                <c:pt idx="11">
                  <c:v>-0.14020543100195937</c:v>
                </c:pt>
                <c:pt idx="12">
                  <c:v>-0.1441557090038259</c:v>
                </c:pt>
                <c:pt idx="13">
                  <c:v>-0.16312256099990918</c:v>
                </c:pt>
                <c:pt idx="14">
                  <c:v>-0.16094024700214504</c:v>
                </c:pt>
                <c:pt idx="15">
                  <c:v>-0.14392367300024489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21-4685-8EC9-41BC8C87087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  <c:pt idx="69">
                    <c:v>1.6999999999999999E-3</c:v>
                  </c:pt>
                  <c:pt idx="70">
                    <c:v>1.2999999999999999E-3</c:v>
                  </c:pt>
                  <c:pt idx="71">
                    <c:v>6.9999999999999999E-4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  <c:pt idx="69">
                    <c:v>1.6999999999999999E-3</c:v>
                  </c:pt>
                  <c:pt idx="70">
                    <c:v>1.2999999999999999E-3</c:v>
                  </c:pt>
                  <c:pt idx="7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16">
                  <c:v>-0.13025536500208545</c:v>
                </c:pt>
                <c:pt idx="17">
                  <c:v>-0.12173622300178977</c:v>
                </c:pt>
                <c:pt idx="18">
                  <c:v>-8.7084489001426846E-2</c:v>
                </c:pt>
                <c:pt idx="19">
                  <c:v>-0.10405134100437863</c:v>
                </c:pt>
                <c:pt idx="20">
                  <c:v>-8.1959381001070142E-2</c:v>
                </c:pt>
                <c:pt idx="21">
                  <c:v>-0.12976049300050363</c:v>
                </c:pt>
                <c:pt idx="22">
                  <c:v>-7.4675805000879336E-2</c:v>
                </c:pt>
                <c:pt idx="23">
                  <c:v>-0.12023386700093397</c:v>
                </c:pt>
                <c:pt idx="24">
                  <c:v>-9.3635385001107352E-2</c:v>
                </c:pt>
                <c:pt idx="25">
                  <c:v>-0.13210875900040264</c:v>
                </c:pt>
                <c:pt idx="26">
                  <c:v>-8.0957987003785092E-2</c:v>
                </c:pt>
                <c:pt idx="27">
                  <c:v>-8.0147784996370319E-2</c:v>
                </c:pt>
                <c:pt idx="28">
                  <c:v>-9.3090791000577156E-2</c:v>
                </c:pt>
                <c:pt idx="29">
                  <c:v>-9.5057642996835057E-2</c:v>
                </c:pt>
                <c:pt idx="30">
                  <c:v>-0.1180244950010092</c:v>
                </c:pt>
                <c:pt idx="31">
                  <c:v>-8.4010639999178238E-2</c:v>
                </c:pt>
                <c:pt idx="32">
                  <c:v>-7.4268552001740318E-2</c:v>
                </c:pt>
                <c:pt idx="33">
                  <c:v>-9.9760265002259985E-2</c:v>
                </c:pt>
                <c:pt idx="34">
                  <c:v>-5.6743691005976871E-2</c:v>
                </c:pt>
                <c:pt idx="35">
                  <c:v>-6.4660821000870783E-2</c:v>
                </c:pt>
                <c:pt idx="36">
                  <c:v>-6.6408628001227044E-2</c:v>
                </c:pt>
                <c:pt idx="37">
                  <c:v>-9.5009087002836168E-2</c:v>
                </c:pt>
                <c:pt idx="38">
                  <c:v>-6.0500799998408183E-2</c:v>
                </c:pt>
                <c:pt idx="39">
                  <c:v>-6.8508283999108244E-2</c:v>
                </c:pt>
                <c:pt idx="40">
                  <c:v>-7.6999997007078491E-2</c:v>
                </c:pt>
                <c:pt idx="45">
                  <c:v>4.0517339948564768E-3</c:v>
                </c:pt>
                <c:pt idx="68">
                  <c:v>-1.872514500428224E-2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21-4685-8EC9-41BC8C8708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Active!$D$21:$D$32</c:f>
                <c:numCache>
                  <c:formatCode>General</c:formatCode>
                  <c:ptCount val="1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Active!$D$21:$D$32</c:f>
                <c:numCache>
                  <c:formatCode>General</c:formatCode>
                  <c:ptCount val="1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43">
                  <c:v>0</c:v>
                </c:pt>
                <c:pt idx="44">
                  <c:v>1.3248609975562431E-3</c:v>
                </c:pt>
                <c:pt idx="46">
                  <c:v>6.6036499629262835E-4</c:v>
                </c:pt>
                <c:pt idx="54">
                  <c:v>2.9546299629146233E-4</c:v>
                </c:pt>
                <c:pt idx="55">
                  <c:v>-1.5199020053842105E-3</c:v>
                </c:pt>
                <c:pt idx="56">
                  <c:v>-2.0246431005944032E-2</c:v>
                </c:pt>
                <c:pt idx="58">
                  <c:v>-5.5541270048706792E-3</c:v>
                </c:pt>
                <c:pt idx="59">
                  <c:v>-4.3375530003686436E-3</c:v>
                </c:pt>
                <c:pt idx="67">
                  <c:v>-1.872514500428224E-2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21-4685-8EC9-41BC8C8708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41">
                  <c:v>1.3577619974967092E-3</c:v>
                </c:pt>
                <c:pt idx="42">
                  <c:v>-2.2759420025977306E-3</c:v>
                </c:pt>
                <c:pt idx="45">
                  <c:v>1.3248609975562431E-3</c:v>
                </c:pt>
                <c:pt idx="47">
                  <c:v>-6.5364100009901449E-4</c:v>
                </c:pt>
                <c:pt idx="48">
                  <c:v>-3.7067009543534368E-5</c:v>
                </c:pt>
                <c:pt idx="49">
                  <c:v>7.8126549997250549E-3</c:v>
                </c:pt>
                <c:pt idx="50">
                  <c:v>-1.0207710001850501E-3</c:v>
                </c:pt>
                <c:pt idx="51">
                  <c:v>8.2811699394369498E-4</c:v>
                </c:pt>
                <c:pt idx="52">
                  <c:v>-2.9124180000508204E-3</c:v>
                </c:pt>
                <c:pt idx="53">
                  <c:v>5.4985960014164448E-3</c:v>
                </c:pt>
                <c:pt idx="57">
                  <c:v>-1.0023337999882642E-2</c:v>
                </c:pt>
                <c:pt idx="60">
                  <c:v>-1.2795360002201051E-2</c:v>
                </c:pt>
                <c:pt idx="61">
                  <c:v>-9.3953600080567412E-3</c:v>
                </c:pt>
                <c:pt idx="62">
                  <c:v>-9.095360008359421E-3</c:v>
                </c:pt>
                <c:pt idx="63">
                  <c:v>-9.0579000025172718E-3</c:v>
                </c:pt>
                <c:pt idx="64">
                  <c:v>-9.0579000025172718E-3</c:v>
                </c:pt>
                <c:pt idx="65">
                  <c:v>-8.7579000028199516E-3</c:v>
                </c:pt>
                <c:pt idx="69">
                  <c:v>-1.8810089000908192E-2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21-4685-8EC9-41BC8C8708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21-4685-8EC9-41BC8C8708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21-4685-8EC9-41BC8C8708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21-4685-8EC9-41BC8C8708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39">
                  <c:v>0.1152569068375965</c:v>
                </c:pt>
                <c:pt idx="40">
                  <c:v>0.11524923274222913</c:v>
                </c:pt>
                <c:pt idx="41">
                  <c:v>3.1419972980905264E-2</c:v>
                </c:pt>
                <c:pt idx="42">
                  <c:v>3.1358580217966329E-2</c:v>
                </c:pt>
                <c:pt idx="43">
                  <c:v>2.8294058134597927E-2</c:v>
                </c:pt>
                <c:pt idx="44">
                  <c:v>2.8271035848495826E-2</c:v>
                </c:pt>
                <c:pt idx="45">
                  <c:v>2.3060325094053889E-2</c:v>
                </c:pt>
                <c:pt idx="46">
                  <c:v>1.7588695097121486E-2</c:v>
                </c:pt>
                <c:pt idx="47">
                  <c:v>1.2508443963924785E-2</c:v>
                </c:pt>
                <c:pt idx="48">
                  <c:v>1.2493095773190049E-2</c:v>
                </c:pt>
                <c:pt idx="49">
                  <c:v>1.244705120098585E-2</c:v>
                </c:pt>
                <c:pt idx="50">
                  <c:v>1.2431703010251118E-2</c:v>
                </c:pt>
                <c:pt idx="51">
                  <c:v>1.2247524721434318E-2</c:v>
                </c:pt>
                <c:pt idx="52">
                  <c:v>6.9140284411145156E-3</c:v>
                </c:pt>
                <c:pt idx="53">
                  <c:v>5.9777888062957883E-3</c:v>
                </c:pt>
                <c:pt idx="54">
                  <c:v>5.9189540751459768E-3</c:v>
                </c:pt>
                <c:pt idx="55">
                  <c:v>3.8341581670113777E-3</c:v>
                </c:pt>
                <c:pt idx="56">
                  <c:v>3.5809130198882766E-3</c:v>
                </c:pt>
                <c:pt idx="57">
                  <c:v>-4.648275245717863E-3</c:v>
                </c:pt>
                <c:pt idx="58">
                  <c:v>-5.0550023001882938E-3</c:v>
                </c:pt>
                <c:pt idx="59">
                  <c:v>-5.0703504909230257E-3</c:v>
                </c:pt>
                <c:pt idx="60">
                  <c:v>-7.9276719993725334E-3</c:v>
                </c:pt>
                <c:pt idx="61">
                  <c:v>-7.9276719993725334E-3</c:v>
                </c:pt>
                <c:pt idx="62">
                  <c:v>-7.9276719993725334E-3</c:v>
                </c:pt>
                <c:pt idx="63">
                  <c:v>-9.8206155233229661E-3</c:v>
                </c:pt>
                <c:pt idx="64">
                  <c:v>-9.8206155233229661E-3</c:v>
                </c:pt>
                <c:pt idx="65">
                  <c:v>-9.8206155233229661E-3</c:v>
                </c:pt>
                <c:pt idx="66">
                  <c:v>-1.0480587724916494E-2</c:v>
                </c:pt>
                <c:pt idx="67">
                  <c:v>-1.77377239106562E-2</c:v>
                </c:pt>
                <c:pt idx="68">
                  <c:v>-1.8924650660808902E-2</c:v>
                </c:pt>
                <c:pt idx="69">
                  <c:v>-3.252570568357168E-2</c:v>
                </c:pt>
                <c:pt idx="70">
                  <c:v>-3.3221490330212926E-2</c:v>
                </c:pt>
                <c:pt idx="71">
                  <c:v>-3.6485538893132857E-2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21-4685-8EC9-41BC8C8708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  <c:pt idx="70">
                  <c:v>1.1998591995507013E-2</c:v>
                </c:pt>
                <c:pt idx="71">
                  <c:v>1.0629995915223844E-2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21-4685-8EC9-41BC8C87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419856"/>
        <c:axId val="1"/>
      </c:scatterChart>
      <c:valAx>
        <c:axId val="882419856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419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8513011152416355E-2"/>
          <c:y val="0.92024539877300615"/>
          <c:w val="0.8940528251812389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V0505 Cyg - O-C Diagr.</a:t>
            </a:r>
          </a:p>
        </c:rich>
      </c:tx>
      <c:layout>
        <c:manualLayout>
          <c:xMode val="edge"/>
          <c:yMode val="edge"/>
          <c:x val="0.343228200371057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9944341372913"/>
          <c:y val="0.14678942920199375"/>
          <c:w val="0.7810760667903524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-0.14866736700423644</c:v>
                </c:pt>
                <c:pt idx="1">
                  <c:v>-0.16965079300280195</c:v>
                </c:pt>
                <c:pt idx="2">
                  <c:v>-0.15465079300338402</c:v>
                </c:pt>
                <c:pt idx="3">
                  <c:v>-0.16242431700447924</c:v>
                </c:pt>
                <c:pt idx="4">
                  <c:v>-0.16135620299974107</c:v>
                </c:pt>
                <c:pt idx="5">
                  <c:v>-0.16633962900232291</c:v>
                </c:pt>
                <c:pt idx="6">
                  <c:v>-0.19010759299999336</c:v>
                </c:pt>
                <c:pt idx="7">
                  <c:v>-0.14598248500260524</c:v>
                </c:pt>
                <c:pt idx="8">
                  <c:v>-0.17280017100347322</c:v>
                </c:pt>
                <c:pt idx="9">
                  <c:v>-0.17803038900092361</c:v>
                </c:pt>
                <c:pt idx="10">
                  <c:v>-0.1729806670009566</c:v>
                </c:pt>
                <c:pt idx="11">
                  <c:v>-0.14020543100195937</c:v>
                </c:pt>
                <c:pt idx="12">
                  <c:v>-0.1441557090038259</c:v>
                </c:pt>
                <c:pt idx="13">
                  <c:v>-0.16312256099990918</c:v>
                </c:pt>
                <c:pt idx="14">
                  <c:v>-0.16094024700214504</c:v>
                </c:pt>
                <c:pt idx="15">
                  <c:v>-0.14392367300024489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80-4238-B99B-D30F3B9C5B8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  <c:pt idx="69">
                    <c:v>1.6999999999999999E-3</c:v>
                  </c:pt>
                  <c:pt idx="70">
                    <c:v>1.2999999999999999E-3</c:v>
                  </c:pt>
                  <c:pt idx="71">
                    <c:v>6.9999999999999999E-4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  <c:pt idx="69">
                    <c:v>1.6999999999999999E-3</c:v>
                  </c:pt>
                  <c:pt idx="70">
                    <c:v>1.2999999999999999E-3</c:v>
                  </c:pt>
                  <c:pt idx="7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16">
                  <c:v>-0.13025536500208545</c:v>
                </c:pt>
                <c:pt idx="17">
                  <c:v>-0.12173622300178977</c:v>
                </c:pt>
                <c:pt idx="18">
                  <c:v>-8.7084489001426846E-2</c:v>
                </c:pt>
                <c:pt idx="19">
                  <c:v>-0.10405134100437863</c:v>
                </c:pt>
                <c:pt idx="20">
                  <c:v>-8.1959381001070142E-2</c:v>
                </c:pt>
                <c:pt idx="21">
                  <c:v>-0.12976049300050363</c:v>
                </c:pt>
                <c:pt idx="22">
                  <c:v>-7.4675805000879336E-2</c:v>
                </c:pt>
                <c:pt idx="23">
                  <c:v>-0.12023386700093397</c:v>
                </c:pt>
                <c:pt idx="24">
                  <c:v>-9.3635385001107352E-2</c:v>
                </c:pt>
                <c:pt idx="25">
                  <c:v>-0.13210875900040264</c:v>
                </c:pt>
                <c:pt idx="26">
                  <c:v>-8.0957987003785092E-2</c:v>
                </c:pt>
                <c:pt idx="27">
                  <c:v>-8.0147784996370319E-2</c:v>
                </c:pt>
                <c:pt idx="28">
                  <c:v>-9.3090791000577156E-2</c:v>
                </c:pt>
                <c:pt idx="29">
                  <c:v>-9.5057642996835057E-2</c:v>
                </c:pt>
                <c:pt idx="30">
                  <c:v>-0.1180244950010092</c:v>
                </c:pt>
                <c:pt idx="31">
                  <c:v>-8.4010639999178238E-2</c:v>
                </c:pt>
                <c:pt idx="32">
                  <c:v>-7.4268552001740318E-2</c:v>
                </c:pt>
                <c:pt idx="33">
                  <c:v>-9.9760265002259985E-2</c:v>
                </c:pt>
                <c:pt idx="34">
                  <c:v>-5.6743691005976871E-2</c:v>
                </c:pt>
                <c:pt idx="35">
                  <c:v>-6.4660821000870783E-2</c:v>
                </c:pt>
                <c:pt idx="36">
                  <c:v>-6.6408628001227044E-2</c:v>
                </c:pt>
                <c:pt idx="37">
                  <c:v>-9.5009087002836168E-2</c:v>
                </c:pt>
                <c:pt idx="38">
                  <c:v>-6.0500799998408183E-2</c:v>
                </c:pt>
                <c:pt idx="39">
                  <c:v>-6.8508283999108244E-2</c:v>
                </c:pt>
                <c:pt idx="40">
                  <c:v>-7.6999997007078491E-2</c:v>
                </c:pt>
                <c:pt idx="45">
                  <c:v>4.0517339948564768E-3</c:v>
                </c:pt>
                <c:pt idx="68">
                  <c:v>-1.872514500428224E-2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80-4238-B99B-D30F3B9C5B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Active!$D$21:$D$32</c:f>
                <c:numCache>
                  <c:formatCode>General</c:formatCode>
                  <c:ptCount val="1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Active!$D$21:$D$32</c:f>
                <c:numCache>
                  <c:formatCode>General</c:formatCode>
                  <c:ptCount val="1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43">
                  <c:v>0</c:v>
                </c:pt>
                <c:pt idx="44">
                  <c:v>1.3248609975562431E-3</c:v>
                </c:pt>
                <c:pt idx="46">
                  <c:v>6.6036499629262835E-4</c:v>
                </c:pt>
                <c:pt idx="54">
                  <c:v>2.9546299629146233E-4</c:v>
                </c:pt>
                <c:pt idx="55">
                  <c:v>-1.5199020053842105E-3</c:v>
                </c:pt>
                <c:pt idx="56">
                  <c:v>-2.0246431005944032E-2</c:v>
                </c:pt>
                <c:pt idx="58">
                  <c:v>-5.5541270048706792E-3</c:v>
                </c:pt>
                <c:pt idx="59">
                  <c:v>-4.3375530003686436E-3</c:v>
                </c:pt>
                <c:pt idx="67">
                  <c:v>-1.872514500428224E-2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80-4238-B99B-D30F3B9C5B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41">
                  <c:v>1.3577619974967092E-3</c:v>
                </c:pt>
                <c:pt idx="42">
                  <c:v>-2.2759420025977306E-3</c:v>
                </c:pt>
                <c:pt idx="45">
                  <c:v>1.3248609975562431E-3</c:v>
                </c:pt>
                <c:pt idx="47">
                  <c:v>-6.5364100009901449E-4</c:v>
                </c:pt>
                <c:pt idx="48">
                  <c:v>-3.7067009543534368E-5</c:v>
                </c:pt>
                <c:pt idx="49">
                  <c:v>7.8126549997250549E-3</c:v>
                </c:pt>
                <c:pt idx="50">
                  <c:v>-1.0207710001850501E-3</c:v>
                </c:pt>
                <c:pt idx="51">
                  <c:v>8.2811699394369498E-4</c:v>
                </c:pt>
                <c:pt idx="52">
                  <c:v>-2.9124180000508204E-3</c:v>
                </c:pt>
                <c:pt idx="53">
                  <c:v>5.4985960014164448E-3</c:v>
                </c:pt>
                <c:pt idx="57">
                  <c:v>-1.0023337999882642E-2</c:v>
                </c:pt>
                <c:pt idx="60">
                  <c:v>-1.2795360002201051E-2</c:v>
                </c:pt>
                <c:pt idx="61">
                  <c:v>-9.3953600080567412E-3</c:v>
                </c:pt>
                <c:pt idx="62">
                  <c:v>-9.095360008359421E-3</c:v>
                </c:pt>
                <c:pt idx="63">
                  <c:v>-9.0579000025172718E-3</c:v>
                </c:pt>
                <c:pt idx="64">
                  <c:v>-9.0579000025172718E-3</c:v>
                </c:pt>
                <c:pt idx="65">
                  <c:v>-8.7579000028199516E-3</c:v>
                </c:pt>
                <c:pt idx="69">
                  <c:v>-1.8810089000908192E-2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80-4238-B99B-D30F3B9C5B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80-4238-B99B-D30F3B9C5B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80-4238-B99B-D30F3B9C5B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3.0000000000000001E-3</c:v>
                  </c:pt>
                  <c:pt idx="47">
                    <c:v>1.6000000000000001E-3</c:v>
                  </c:pt>
                  <c:pt idx="48">
                    <c:v>2.3999999999999998E-3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5.9999999999999995E-4</c:v>
                  </c:pt>
                  <c:pt idx="55">
                    <c:v>2.3E-3</c:v>
                  </c:pt>
                  <c:pt idx="56">
                    <c:v>2E-3</c:v>
                  </c:pt>
                  <c:pt idx="57">
                    <c:v>2E-3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8.0000000000000004E-4</c:v>
                  </c:pt>
                  <c:pt idx="61">
                    <c:v>5.0000000000000001E-4</c:v>
                  </c:pt>
                  <c:pt idx="62">
                    <c:v>6.9999999999999999E-4</c:v>
                  </c:pt>
                  <c:pt idx="63">
                    <c:v>5.0000000000000001E-4</c:v>
                  </c:pt>
                  <c:pt idx="64">
                    <c:v>1.1999999999999999E-3</c:v>
                  </c:pt>
                  <c:pt idx="65">
                    <c:v>5.0000000000000001E-4</c:v>
                  </c:pt>
                  <c:pt idx="66">
                    <c:v>0</c:v>
                  </c:pt>
                  <c:pt idx="67">
                    <c:v>2.9999999999999997E-4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80-4238-B99B-D30F3B9C5B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39">
                  <c:v>0.1152569068375965</c:v>
                </c:pt>
                <c:pt idx="40">
                  <c:v>0.11524923274222913</c:v>
                </c:pt>
                <c:pt idx="41">
                  <c:v>3.1419972980905264E-2</c:v>
                </c:pt>
                <c:pt idx="42">
                  <c:v>3.1358580217966329E-2</c:v>
                </c:pt>
                <c:pt idx="43">
                  <c:v>2.8294058134597927E-2</c:v>
                </c:pt>
                <c:pt idx="44">
                  <c:v>2.8271035848495826E-2</c:v>
                </c:pt>
                <c:pt idx="45">
                  <c:v>2.3060325094053889E-2</c:v>
                </c:pt>
                <c:pt idx="46">
                  <c:v>1.7588695097121486E-2</c:v>
                </c:pt>
                <c:pt idx="47">
                  <c:v>1.2508443963924785E-2</c:v>
                </c:pt>
                <c:pt idx="48">
                  <c:v>1.2493095773190049E-2</c:v>
                </c:pt>
                <c:pt idx="49">
                  <c:v>1.244705120098585E-2</c:v>
                </c:pt>
                <c:pt idx="50">
                  <c:v>1.2431703010251118E-2</c:v>
                </c:pt>
                <c:pt idx="51">
                  <c:v>1.2247524721434318E-2</c:v>
                </c:pt>
                <c:pt idx="52">
                  <c:v>6.9140284411145156E-3</c:v>
                </c:pt>
                <c:pt idx="53">
                  <c:v>5.9777888062957883E-3</c:v>
                </c:pt>
                <c:pt idx="54">
                  <c:v>5.9189540751459768E-3</c:v>
                </c:pt>
                <c:pt idx="55">
                  <c:v>3.8341581670113777E-3</c:v>
                </c:pt>
                <c:pt idx="56">
                  <c:v>3.5809130198882766E-3</c:v>
                </c:pt>
                <c:pt idx="57">
                  <c:v>-4.648275245717863E-3</c:v>
                </c:pt>
                <c:pt idx="58">
                  <c:v>-5.0550023001882938E-3</c:v>
                </c:pt>
                <c:pt idx="59">
                  <c:v>-5.0703504909230257E-3</c:v>
                </c:pt>
                <c:pt idx="60">
                  <c:v>-7.9276719993725334E-3</c:v>
                </c:pt>
                <c:pt idx="61">
                  <c:v>-7.9276719993725334E-3</c:v>
                </c:pt>
                <c:pt idx="62">
                  <c:v>-7.9276719993725334E-3</c:v>
                </c:pt>
                <c:pt idx="63">
                  <c:v>-9.8206155233229661E-3</c:v>
                </c:pt>
                <c:pt idx="64">
                  <c:v>-9.8206155233229661E-3</c:v>
                </c:pt>
                <c:pt idx="65">
                  <c:v>-9.8206155233229661E-3</c:v>
                </c:pt>
                <c:pt idx="66">
                  <c:v>-1.0480587724916494E-2</c:v>
                </c:pt>
                <c:pt idx="67">
                  <c:v>-1.77377239106562E-2</c:v>
                </c:pt>
                <c:pt idx="68">
                  <c:v>-1.8924650660808902E-2</c:v>
                </c:pt>
                <c:pt idx="69">
                  <c:v>-3.252570568357168E-2</c:v>
                </c:pt>
                <c:pt idx="70">
                  <c:v>-3.3221490330212926E-2</c:v>
                </c:pt>
                <c:pt idx="71">
                  <c:v>-3.6485538893132857E-2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80-4238-B99B-D30F3B9C5B8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-32261.5</c:v>
                </c:pt>
                <c:pt idx="1">
                  <c:v>-32258.5</c:v>
                </c:pt>
                <c:pt idx="2">
                  <c:v>-32258.5</c:v>
                </c:pt>
                <c:pt idx="3">
                  <c:v>-32036.5</c:v>
                </c:pt>
                <c:pt idx="4">
                  <c:v>-31903.5</c:v>
                </c:pt>
                <c:pt idx="5">
                  <c:v>-31900.5</c:v>
                </c:pt>
                <c:pt idx="6">
                  <c:v>-31858.5</c:v>
                </c:pt>
                <c:pt idx="7">
                  <c:v>-31232.5</c:v>
                </c:pt>
                <c:pt idx="8">
                  <c:v>-31199.5</c:v>
                </c:pt>
                <c:pt idx="9">
                  <c:v>-31120.5</c:v>
                </c:pt>
                <c:pt idx="10">
                  <c:v>-31111.5</c:v>
                </c:pt>
                <c:pt idx="11">
                  <c:v>-30669.5</c:v>
                </c:pt>
                <c:pt idx="12">
                  <c:v>-30660.5</c:v>
                </c:pt>
                <c:pt idx="13">
                  <c:v>-30654.5</c:v>
                </c:pt>
                <c:pt idx="14">
                  <c:v>-30621.5</c:v>
                </c:pt>
                <c:pt idx="15">
                  <c:v>-30618.5</c:v>
                </c:pt>
                <c:pt idx="16">
                  <c:v>-29592.5</c:v>
                </c:pt>
                <c:pt idx="17">
                  <c:v>-28593.5</c:v>
                </c:pt>
                <c:pt idx="18">
                  <c:v>-27570.5</c:v>
                </c:pt>
                <c:pt idx="19">
                  <c:v>-27564.5</c:v>
                </c:pt>
                <c:pt idx="20">
                  <c:v>-26944.5</c:v>
                </c:pt>
                <c:pt idx="21">
                  <c:v>-26908.5</c:v>
                </c:pt>
                <c:pt idx="22">
                  <c:v>-26772.5</c:v>
                </c:pt>
                <c:pt idx="23">
                  <c:v>-26511.5</c:v>
                </c:pt>
                <c:pt idx="24">
                  <c:v>-26282.5</c:v>
                </c:pt>
                <c:pt idx="25">
                  <c:v>-25885.5</c:v>
                </c:pt>
                <c:pt idx="26">
                  <c:v>-24651.5</c:v>
                </c:pt>
                <c:pt idx="27">
                  <c:v>-24082.5</c:v>
                </c:pt>
                <c:pt idx="28">
                  <c:v>-23589.5</c:v>
                </c:pt>
                <c:pt idx="29">
                  <c:v>-23583.5</c:v>
                </c:pt>
                <c:pt idx="30">
                  <c:v>-23577.5</c:v>
                </c:pt>
                <c:pt idx="31">
                  <c:v>-19080</c:v>
                </c:pt>
                <c:pt idx="32">
                  <c:v>-18644</c:v>
                </c:pt>
                <c:pt idx="33">
                  <c:v>-18642.5</c:v>
                </c:pt>
                <c:pt idx="34">
                  <c:v>-18639.5</c:v>
                </c:pt>
                <c:pt idx="35">
                  <c:v>-18624.5</c:v>
                </c:pt>
                <c:pt idx="36">
                  <c:v>-18066</c:v>
                </c:pt>
                <c:pt idx="37">
                  <c:v>-17601.5</c:v>
                </c:pt>
                <c:pt idx="38">
                  <c:v>-17600</c:v>
                </c:pt>
                <c:pt idx="39">
                  <c:v>-16998</c:v>
                </c:pt>
                <c:pt idx="40">
                  <c:v>-16996.5</c:v>
                </c:pt>
                <c:pt idx="41">
                  <c:v>-611</c:v>
                </c:pt>
                <c:pt idx="42">
                  <c:v>-599</c:v>
                </c:pt>
                <c:pt idx="43">
                  <c:v>0</c:v>
                </c:pt>
                <c:pt idx="44">
                  <c:v>4.5</c:v>
                </c:pt>
                <c:pt idx="45">
                  <c:v>1023</c:v>
                </c:pt>
                <c:pt idx="46">
                  <c:v>2092.5</c:v>
                </c:pt>
                <c:pt idx="47">
                  <c:v>3085.5</c:v>
                </c:pt>
                <c:pt idx="48">
                  <c:v>3088.5</c:v>
                </c:pt>
                <c:pt idx="49">
                  <c:v>3097.5</c:v>
                </c:pt>
                <c:pt idx="50">
                  <c:v>3100.5</c:v>
                </c:pt>
                <c:pt idx="51">
                  <c:v>3136.5</c:v>
                </c:pt>
                <c:pt idx="52">
                  <c:v>4179</c:v>
                </c:pt>
                <c:pt idx="53">
                  <c:v>4362</c:v>
                </c:pt>
                <c:pt idx="54">
                  <c:v>4373.5</c:v>
                </c:pt>
                <c:pt idx="55">
                  <c:v>4781</c:v>
                </c:pt>
                <c:pt idx="56">
                  <c:v>4830.5</c:v>
                </c:pt>
                <c:pt idx="57">
                  <c:v>6439</c:v>
                </c:pt>
                <c:pt idx="58">
                  <c:v>6518.5</c:v>
                </c:pt>
                <c:pt idx="59">
                  <c:v>6521.5</c:v>
                </c:pt>
                <c:pt idx="60">
                  <c:v>7080</c:v>
                </c:pt>
                <c:pt idx="61">
                  <c:v>7080</c:v>
                </c:pt>
                <c:pt idx="62">
                  <c:v>7080</c:v>
                </c:pt>
                <c:pt idx="63">
                  <c:v>7450</c:v>
                </c:pt>
                <c:pt idx="64">
                  <c:v>7450</c:v>
                </c:pt>
                <c:pt idx="65">
                  <c:v>7450</c:v>
                </c:pt>
                <c:pt idx="66">
                  <c:v>7579</c:v>
                </c:pt>
                <c:pt idx="67">
                  <c:v>8997.5</c:v>
                </c:pt>
                <c:pt idx="68">
                  <c:v>9229.5</c:v>
                </c:pt>
                <c:pt idx="69">
                  <c:v>11888</c:v>
                </c:pt>
                <c:pt idx="70">
                  <c:v>12024</c:v>
                </c:pt>
                <c:pt idx="71">
                  <c:v>12662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  <c:pt idx="70">
                  <c:v>1.1998591995507013E-2</c:v>
                </c:pt>
                <c:pt idx="71">
                  <c:v>1.0629995915223844E-2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80-4238-B99B-D30F3B9C5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418416"/>
        <c:axId val="1"/>
      </c:scatterChart>
      <c:valAx>
        <c:axId val="882418416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35807050092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03339517625233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418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18552875695733"/>
          <c:y val="0.9204921861831491"/>
          <c:w val="0.8923933209647495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17</xdr:col>
      <xdr:colOff>200024</xdr:colOff>
      <xdr:row>17</xdr:row>
      <xdr:rowOff>161925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957DE81-7FF8-0014-E3BB-74E9E4F62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400051</xdr:colOff>
      <xdr:row>0</xdr:row>
      <xdr:rowOff>0</xdr:rowOff>
    </xdr:from>
    <xdr:to>
      <xdr:col>27</xdr:col>
      <xdr:colOff>171451</xdr:colOff>
      <xdr:row>17</xdr:row>
      <xdr:rowOff>171450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D4D8503F-2178-015F-03C3-7D9395D6B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58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80" TargetMode="External"/><Relationship Id="rId21" Type="http://schemas.openxmlformats.org/officeDocument/2006/relationships/hyperlink" Target="http://var.astro.cz/oejv/issues/oejv0094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bav-astro.de/sfs/BAVM_link.php?BAVMnr=186" TargetMode="External"/><Relationship Id="rId20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konkoly.hu/cgi-bin/IBVS?5287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bav-astro.de/sfs/BAVM_link.php?BAVMnr=80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4"/>
  <sheetViews>
    <sheetView tabSelected="1" workbookViewId="0">
      <pane xSplit="14" ySplit="21" topLeftCell="O76" activePane="bottomRight" state="frozen"/>
      <selection pane="topRight" activeCell="O1" sqref="O1"/>
      <selection pane="bottomLeft" activeCell="A22" sqref="A22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1" t="s">
        <v>42</v>
      </c>
      <c r="E1" s="8"/>
      <c r="F1" s="8"/>
    </row>
    <row r="2" spans="1:6" x14ac:dyDescent="0.2">
      <c r="A2" t="s">
        <v>24</v>
      </c>
      <c r="B2" t="s">
        <v>31</v>
      </c>
      <c r="C2" t="s">
        <v>30</v>
      </c>
      <c r="E2" s="8"/>
      <c r="F2" s="8"/>
    </row>
    <row r="3" spans="1:6" ht="13.5" thickBot="1" x14ac:dyDescent="0.25">
      <c r="A3" t="s">
        <v>29</v>
      </c>
    </row>
    <row r="4" spans="1:6" ht="14.25" thickTop="1" thickBot="1" x14ac:dyDescent="0.25">
      <c r="A4" s="4" t="s">
        <v>1</v>
      </c>
      <c r="C4" s="12">
        <v>28099.425999999999</v>
      </c>
      <c r="D4" s="13">
        <v>0.66766114200000004</v>
      </c>
    </row>
    <row r="5" spans="1:6" ht="13.5" thickTop="1" x14ac:dyDescent="0.2">
      <c r="A5" s="17" t="s">
        <v>43</v>
      </c>
      <c r="B5" s="9"/>
      <c r="C5" s="18">
        <v>-9.5</v>
      </c>
      <c r="D5" s="9" t="s">
        <v>44</v>
      </c>
    </row>
    <row r="6" spans="1:6" x14ac:dyDescent="0.2">
      <c r="A6" s="4" t="s">
        <v>2</v>
      </c>
    </row>
    <row r="7" spans="1:6" x14ac:dyDescent="0.2">
      <c r="A7" t="s">
        <v>3</v>
      </c>
      <c r="C7">
        <v>49637.342600000004</v>
      </c>
    </row>
    <row r="8" spans="1:6" x14ac:dyDescent="0.2">
      <c r="A8" t="s">
        <v>4</v>
      </c>
      <c r="C8" s="8">
        <f>D4</f>
        <v>0.66766114200000004</v>
      </c>
    </row>
    <row r="9" spans="1:6" x14ac:dyDescent="0.2">
      <c r="A9" s="30" t="s">
        <v>49</v>
      </c>
      <c r="B9" s="31">
        <v>80</v>
      </c>
      <c r="C9" s="28" t="str">
        <f>"F"&amp;B9</f>
        <v>F80</v>
      </c>
      <c r="D9" s="29" t="str">
        <f>"G"&amp;B9</f>
        <v>G80</v>
      </c>
    </row>
    <row r="10" spans="1:6" ht="13.5" thickBot="1" x14ac:dyDescent="0.25">
      <c r="A10" s="9"/>
      <c r="B10" s="9"/>
      <c r="C10" s="3" t="s">
        <v>20</v>
      </c>
      <c r="D10" s="3" t="s">
        <v>21</v>
      </c>
      <c r="E10" s="9"/>
    </row>
    <row r="11" spans="1:6" x14ac:dyDescent="0.2">
      <c r="A11" s="9" t="s">
        <v>16</v>
      </c>
      <c r="B11" s="9"/>
      <c r="C11" s="27">
        <f ca="1">INTERCEPT(INDIRECT($D$9):G988,INDIRECT($C$9):F988)</f>
        <v>2.8294058134597927E-2</v>
      </c>
      <c r="D11" s="2"/>
      <c r="E11" s="9"/>
    </row>
    <row r="12" spans="1:6" x14ac:dyDescent="0.2">
      <c r="A12" s="9" t="s">
        <v>17</v>
      </c>
      <c r="B12" s="9"/>
      <c r="C12" s="27">
        <f ca="1">SLOPE(INDIRECT($D$9):G988,INDIRECT($C$9):F988)</f>
        <v>-5.1160635782444154E-6</v>
      </c>
      <c r="D12" s="2"/>
      <c r="E12" s="9"/>
    </row>
    <row r="13" spans="1:6" x14ac:dyDescent="0.2">
      <c r="A13" s="9" t="s">
        <v>19</v>
      </c>
      <c r="B13" s="9"/>
      <c r="C13" s="2" t="s">
        <v>14</v>
      </c>
    </row>
    <row r="14" spans="1:6" x14ac:dyDescent="0.2">
      <c r="A14" s="9"/>
      <c r="B14" s="9"/>
      <c r="C14" s="9"/>
    </row>
    <row r="15" spans="1:6" x14ac:dyDescent="0.2">
      <c r="A15" s="19" t="s">
        <v>18</v>
      </c>
      <c r="B15" s="9"/>
      <c r="C15" s="20">
        <f ca="1">(C7+C11)+(C8+C12)*INT(MAX(F21:F3529))</f>
        <v>58091.231494465108</v>
      </c>
      <c r="E15" s="21" t="s">
        <v>55</v>
      </c>
      <c r="F15" s="18">
        <v>1</v>
      </c>
    </row>
    <row r="16" spans="1:6" x14ac:dyDescent="0.2">
      <c r="A16" s="10" t="s">
        <v>5</v>
      </c>
      <c r="B16" s="9"/>
      <c r="C16" s="23">
        <f ca="1">+C8+C12</f>
        <v>0.66765602593642182</v>
      </c>
      <c r="E16" s="21" t="s">
        <v>45</v>
      </c>
      <c r="F16" s="22">
        <f ca="1">NOW()+15018.5+$C$5/24</f>
        <v>60340.709175578704</v>
      </c>
    </row>
    <row r="17" spans="1:21" ht="13.5" thickBot="1" x14ac:dyDescent="0.25">
      <c r="A17" s="21" t="s">
        <v>41</v>
      </c>
      <c r="B17" s="9"/>
      <c r="C17" s="9">
        <f>COUNT(C21:C2187)</f>
        <v>72</v>
      </c>
      <c r="E17" s="21" t="s">
        <v>56</v>
      </c>
      <c r="F17" s="22">
        <f ca="1">ROUND(2*(F16-$C$7)/$C$8,0)/2+F15</f>
        <v>16032</v>
      </c>
    </row>
    <row r="18" spans="1:21" ht="14.25" thickTop="1" thickBot="1" x14ac:dyDescent="0.25">
      <c r="A18" s="10" t="s">
        <v>6</v>
      </c>
      <c r="B18" s="9"/>
      <c r="C18" s="25">
        <f ca="1">+C15</f>
        <v>58091.231494465108</v>
      </c>
      <c r="D18" s="26">
        <f ca="1">+C16</f>
        <v>0.66765602593642182</v>
      </c>
      <c r="E18" s="21" t="s">
        <v>46</v>
      </c>
      <c r="F18" s="29">
        <f ca="1">ROUND(2*(F16-$C$15)/$C$16,0)/2+F15</f>
        <v>3370</v>
      </c>
    </row>
    <row r="19" spans="1:21" ht="13.5" thickTop="1" x14ac:dyDescent="0.2">
      <c r="E19" s="21" t="s">
        <v>47</v>
      </c>
      <c r="F19" s="24">
        <f ca="1">+$C$15+$C$16*F18-15018.5-$C$5/24</f>
        <v>45323.128135204184</v>
      </c>
    </row>
    <row r="20" spans="1:21" ht="13.5" thickBot="1" x14ac:dyDescent="0.25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57" t="s">
        <v>12</v>
      </c>
      <c r="H20" s="6" t="s">
        <v>64</v>
      </c>
      <c r="I20" s="6" t="s">
        <v>51</v>
      </c>
      <c r="J20" s="6" t="s">
        <v>61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U20" s="56" t="s">
        <v>304</v>
      </c>
    </row>
    <row r="21" spans="1:21" x14ac:dyDescent="0.2">
      <c r="A21" s="48" t="s">
        <v>72</v>
      </c>
      <c r="B21" s="54" t="s">
        <v>37</v>
      </c>
      <c r="C21" s="49">
        <v>28097.444</v>
      </c>
      <c r="D21" s="49" t="s">
        <v>51</v>
      </c>
      <c r="E21">
        <f t="shared" ref="E21:E52" si="0">+(C21-C$7)/C$8</f>
        <v>-32261.722668892424</v>
      </c>
      <c r="F21">
        <f>ROUND(2*E21,0)/2</f>
        <v>-32261.5</v>
      </c>
      <c r="G21" s="15">
        <f t="shared" ref="G21:G52" si="1">C21-($C$7+$C$8*$F21)</f>
        <v>-0.14866736700423644</v>
      </c>
      <c r="H21">
        <f t="shared" ref="H21:H36" si="2">+G21</f>
        <v>-0.14866736700423644</v>
      </c>
      <c r="Q21" s="1">
        <f t="shared" ref="Q21:Q52" si="3">+C21-15018.5</f>
        <v>13078.944</v>
      </c>
    </row>
    <row r="22" spans="1:21" x14ac:dyDescent="0.2">
      <c r="A22" t="s">
        <v>28</v>
      </c>
      <c r="B22" s="2"/>
      <c r="C22" s="15">
        <v>28099.425999999999</v>
      </c>
      <c r="D22" s="15"/>
      <c r="E22">
        <f t="shared" si="0"/>
        <v>-32258.754097149482</v>
      </c>
      <c r="F22" s="58">
        <f>ROUND(2*E22,0)/2+0.5</f>
        <v>-32258.5</v>
      </c>
      <c r="G22" s="15">
        <f t="shared" si="1"/>
        <v>-0.16965079300280195</v>
      </c>
      <c r="H22">
        <f t="shared" si="2"/>
        <v>-0.16965079300280195</v>
      </c>
      <c r="Q22" s="1">
        <f t="shared" si="3"/>
        <v>13080.925999999999</v>
      </c>
    </row>
    <row r="23" spans="1:21" x14ac:dyDescent="0.2">
      <c r="A23" s="48" t="s">
        <v>72</v>
      </c>
      <c r="B23" s="54" t="s">
        <v>37</v>
      </c>
      <c r="C23" s="49">
        <v>28099.440999999999</v>
      </c>
      <c r="D23" s="49" t="s">
        <v>51</v>
      </c>
      <c r="E23">
        <f t="shared" si="0"/>
        <v>-32258.731630663035</v>
      </c>
      <c r="F23">
        <f>ROUND(2*E23,0)/2</f>
        <v>-32258.5</v>
      </c>
      <c r="G23" s="15">
        <f t="shared" si="1"/>
        <v>-0.15465079300338402</v>
      </c>
      <c r="H23">
        <f t="shared" si="2"/>
        <v>-0.15465079300338402</v>
      </c>
      <c r="Q23" s="1">
        <f t="shared" si="3"/>
        <v>13080.940999999999</v>
      </c>
    </row>
    <row r="24" spans="1:21" x14ac:dyDescent="0.2">
      <c r="A24" s="48" t="s">
        <v>72</v>
      </c>
      <c r="B24" s="54" t="s">
        <v>37</v>
      </c>
      <c r="C24" s="49">
        <v>28247.653999999999</v>
      </c>
      <c r="D24" s="49" t="s">
        <v>51</v>
      </c>
      <c r="E24">
        <f t="shared" si="0"/>
        <v>-32036.743273581142</v>
      </c>
      <c r="F24">
        <f>ROUND(2*E24,0)/2</f>
        <v>-32036.5</v>
      </c>
      <c r="G24" s="15">
        <f t="shared" si="1"/>
        <v>-0.16242431700447924</v>
      </c>
      <c r="H24">
        <f t="shared" si="2"/>
        <v>-0.16242431700447924</v>
      </c>
      <c r="Q24" s="1">
        <f t="shared" si="3"/>
        <v>13229.153999999999</v>
      </c>
    </row>
    <row r="25" spans="1:21" x14ac:dyDescent="0.2">
      <c r="A25" s="48" t="s">
        <v>72</v>
      </c>
      <c r="B25" s="54" t="s">
        <v>37</v>
      </c>
      <c r="C25" s="49">
        <v>28336.454000000002</v>
      </c>
      <c r="D25" s="49" t="s">
        <v>51</v>
      </c>
      <c r="E25">
        <f t="shared" si="0"/>
        <v>-31903.741673796558</v>
      </c>
      <c r="F25">
        <f>ROUND(2*E25,0)/2</f>
        <v>-31903.5</v>
      </c>
      <c r="G25" s="15">
        <f t="shared" si="1"/>
        <v>-0.16135620299974107</v>
      </c>
      <c r="H25">
        <f t="shared" si="2"/>
        <v>-0.16135620299974107</v>
      </c>
      <c r="Q25" s="1">
        <f t="shared" si="3"/>
        <v>13317.954000000002</v>
      </c>
    </row>
    <row r="26" spans="1:21" x14ac:dyDescent="0.2">
      <c r="A26" s="48" t="s">
        <v>72</v>
      </c>
      <c r="B26" s="54" t="s">
        <v>37</v>
      </c>
      <c r="C26" s="48">
        <v>28338.452000000001</v>
      </c>
      <c r="D26" s="48" t="s">
        <v>51</v>
      </c>
      <c r="E26">
        <f t="shared" si="0"/>
        <v>-31900.749137801406</v>
      </c>
      <c r="F26">
        <f>ROUND(2*E26,0)/2</f>
        <v>-31900.5</v>
      </c>
      <c r="G26" s="15">
        <f t="shared" si="1"/>
        <v>-0.16633962900232291</v>
      </c>
      <c r="H26">
        <f t="shared" si="2"/>
        <v>-0.16633962900232291</v>
      </c>
      <c r="Q26" s="1">
        <f t="shared" si="3"/>
        <v>13319.952000000001</v>
      </c>
    </row>
    <row r="27" spans="1:21" x14ac:dyDescent="0.2">
      <c r="A27" s="48" t="s">
        <v>72</v>
      </c>
      <c r="B27" s="54" t="s">
        <v>37</v>
      </c>
      <c r="C27" s="48">
        <v>28366.47</v>
      </c>
      <c r="D27" s="48" t="s">
        <v>51</v>
      </c>
      <c r="E27">
        <f t="shared" si="0"/>
        <v>-31858.784736644149</v>
      </c>
      <c r="F27" s="58">
        <f>ROUND(2*E27,0)/2+0.5</f>
        <v>-31858.5</v>
      </c>
      <c r="G27" s="15">
        <f t="shared" si="1"/>
        <v>-0.19010759299999336</v>
      </c>
      <c r="H27">
        <f t="shared" si="2"/>
        <v>-0.19010759299999336</v>
      </c>
      <c r="Q27" s="1">
        <f t="shared" si="3"/>
        <v>13347.970000000001</v>
      </c>
    </row>
    <row r="28" spans="1:21" x14ac:dyDescent="0.2">
      <c r="A28" s="48" t="s">
        <v>72</v>
      </c>
      <c r="B28" s="54" t="s">
        <v>37</v>
      </c>
      <c r="C28" s="50">
        <v>28784.47</v>
      </c>
      <c r="D28" s="50" t="s">
        <v>51</v>
      </c>
      <c r="E28">
        <f t="shared" si="0"/>
        <v>-31232.718647568083</v>
      </c>
      <c r="F28">
        <f>ROUND(2*E28,0)/2</f>
        <v>-31232.5</v>
      </c>
      <c r="G28" s="15">
        <f t="shared" si="1"/>
        <v>-0.14598248500260524</v>
      </c>
      <c r="H28">
        <f t="shared" si="2"/>
        <v>-0.14598248500260524</v>
      </c>
      <c r="Q28" s="1">
        <f t="shared" si="3"/>
        <v>13765.970000000001</v>
      </c>
    </row>
    <row r="29" spans="1:21" x14ac:dyDescent="0.2">
      <c r="A29" s="48" t="s">
        <v>72</v>
      </c>
      <c r="B29" s="55" t="s">
        <v>37</v>
      </c>
      <c r="C29" s="51">
        <v>28806.475999999999</v>
      </c>
      <c r="D29" s="52" t="s">
        <v>51</v>
      </c>
      <c r="E29">
        <f t="shared" si="0"/>
        <v>-31199.75881418003</v>
      </c>
      <c r="F29" s="58">
        <f>ROUND(2*E29,0)/2+0.5</f>
        <v>-31199.5</v>
      </c>
      <c r="G29" s="15">
        <f t="shared" si="1"/>
        <v>-0.17280017100347322</v>
      </c>
      <c r="H29">
        <f t="shared" si="2"/>
        <v>-0.17280017100347322</v>
      </c>
      <c r="Q29" s="1">
        <f t="shared" si="3"/>
        <v>13787.975999999999</v>
      </c>
    </row>
    <row r="30" spans="1:21" x14ac:dyDescent="0.2">
      <c r="A30" s="48" t="s">
        <v>72</v>
      </c>
      <c r="B30" s="55" t="s">
        <v>37</v>
      </c>
      <c r="C30" s="51">
        <v>28859.216</v>
      </c>
      <c r="D30" s="52" t="s">
        <v>51</v>
      </c>
      <c r="E30">
        <f t="shared" si="0"/>
        <v>-31120.766647821481</v>
      </c>
      <c r="F30" s="58">
        <f>ROUND(2*E30,0)/2+0.5</f>
        <v>-31120.5</v>
      </c>
      <c r="G30" s="15">
        <f t="shared" si="1"/>
        <v>-0.17803038900092361</v>
      </c>
      <c r="H30">
        <f t="shared" si="2"/>
        <v>-0.17803038900092361</v>
      </c>
      <c r="Q30" s="1">
        <f t="shared" si="3"/>
        <v>13840.716</v>
      </c>
    </row>
    <row r="31" spans="1:21" x14ac:dyDescent="0.2">
      <c r="A31" s="48" t="s">
        <v>72</v>
      </c>
      <c r="B31" s="55" t="s">
        <v>37</v>
      </c>
      <c r="C31" s="51">
        <v>28865.23</v>
      </c>
      <c r="D31" s="52" t="s">
        <v>51</v>
      </c>
      <c r="E31">
        <f t="shared" si="0"/>
        <v>-31111.759084520756</v>
      </c>
      <c r="F31" s="58">
        <f>ROUND(2*E31,0)/2+0.5</f>
        <v>-31111.5</v>
      </c>
      <c r="G31" s="15">
        <f t="shared" si="1"/>
        <v>-0.1729806670009566</v>
      </c>
      <c r="H31">
        <f t="shared" si="2"/>
        <v>-0.1729806670009566</v>
      </c>
      <c r="Q31" s="1">
        <f t="shared" si="3"/>
        <v>13846.73</v>
      </c>
    </row>
    <row r="32" spans="1:21" x14ac:dyDescent="0.2">
      <c r="A32" s="48" t="s">
        <v>72</v>
      </c>
      <c r="B32" s="55" t="s">
        <v>37</v>
      </c>
      <c r="C32" s="51">
        <v>29160.368999999999</v>
      </c>
      <c r="D32" s="52" t="s">
        <v>51</v>
      </c>
      <c r="E32">
        <f t="shared" si="0"/>
        <v>-30669.709994894391</v>
      </c>
      <c r="F32">
        <f t="shared" ref="F32:F63" si="4">ROUND(2*E32,0)/2</f>
        <v>-30669.5</v>
      </c>
      <c r="G32" s="15">
        <f t="shared" si="1"/>
        <v>-0.14020543100195937</v>
      </c>
      <c r="H32">
        <f t="shared" si="2"/>
        <v>-0.14020543100195937</v>
      </c>
      <c r="Q32" s="1">
        <f t="shared" si="3"/>
        <v>14141.868999999999</v>
      </c>
    </row>
    <row r="33" spans="1:17" x14ac:dyDescent="0.2">
      <c r="A33" s="48" t="s">
        <v>72</v>
      </c>
      <c r="B33" s="55" t="s">
        <v>37</v>
      </c>
      <c r="C33" s="51">
        <v>29166.374</v>
      </c>
      <c r="D33" s="52" t="s">
        <v>51</v>
      </c>
      <c r="E33">
        <f t="shared" si="0"/>
        <v>-30660.715911485535</v>
      </c>
      <c r="F33">
        <f t="shared" si="4"/>
        <v>-30660.5</v>
      </c>
      <c r="G33" s="15">
        <f t="shared" si="1"/>
        <v>-0.1441557090038259</v>
      </c>
      <c r="H33">
        <f t="shared" si="2"/>
        <v>-0.1441557090038259</v>
      </c>
      <c r="Q33" s="1">
        <f t="shared" si="3"/>
        <v>14147.874</v>
      </c>
    </row>
    <row r="34" spans="1:17" x14ac:dyDescent="0.2">
      <c r="A34" s="48" t="s">
        <v>72</v>
      </c>
      <c r="B34" s="55" t="s">
        <v>37</v>
      </c>
      <c r="C34" s="51">
        <v>29170.361000000001</v>
      </c>
      <c r="D34" s="51" t="s">
        <v>51</v>
      </c>
      <c r="E34">
        <f t="shared" si="0"/>
        <v>-30654.744319387097</v>
      </c>
      <c r="F34">
        <f t="shared" si="4"/>
        <v>-30654.5</v>
      </c>
      <c r="G34" s="15">
        <f t="shared" si="1"/>
        <v>-0.16312256099990918</v>
      </c>
      <c r="H34">
        <f t="shared" si="2"/>
        <v>-0.16312256099990918</v>
      </c>
      <c r="Q34" s="1">
        <f t="shared" si="3"/>
        <v>14151.861000000001</v>
      </c>
    </row>
    <row r="35" spans="1:17" x14ac:dyDescent="0.2">
      <c r="A35" s="48" t="s">
        <v>72</v>
      </c>
      <c r="B35" s="55" t="s">
        <v>37</v>
      </c>
      <c r="C35" s="51">
        <v>29192.396000000001</v>
      </c>
      <c r="D35" s="51" t="s">
        <v>51</v>
      </c>
      <c r="E35">
        <f t="shared" si="0"/>
        <v>-30621.741050791901</v>
      </c>
      <c r="F35">
        <f t="shared" si="4"/>
        <v>-30621.5</v>
      </c>
      <c r="G35" s="15">
        <f t="shared" si="1"/>
        <v>-0.16094024700214504</v>
      </c>
      <c r="H35">
        <f t="shared" si="2"/>
        <v>-0.16094024700214504</v>
      </c>
      <c r="Q35" s="1">
        <f t="shared" si="3"/>
        <v>14173.896000000001</v>
      </c>
    </row>
    <row r="36" spans="1:17" x14ac:dyDescent="0.2">
      <c r="A36" s="51" t="s">
        <v>72</v>
      </c>
      <c r="B36" s="55" t="s">
        <v>37</v>
      </c>
      <c r="C36" s="51">
        <v>29194.416000000001</v>
      </c>
      <c r="D36" s="51" t="s">
        <v>51</v>
      </c>
      <c r="E36">
        <f t="shared" si="0"/>
        <v>-30618.715563949954</v>
      </c>
      <c r="F36">
        <f t="shared" si="4"/>
        <v>-30618.5</v>
      </c>
      <c r="G36" s="15">
        <f t="shared" si="1"/>
        <v>-0.14392367300024489</v>
      </c>
      <c r="H36">
        <f t="shared" si="2"/>
        <v>-0.14392367300024489</v>
      </c>
      <c r="Q36" s="1">
        <f t="shared" si="3"/>
        <v>14175.916000000001</v>
      </c>
    </row>
    <row r="37" spans="1:17" x14ac:dyDescent="0.2">
      <c r="A37" s="53" t="s">
        <v>118</v>
      </c>
      <c r="B37" s="54" t="s">
        <v>37</v>
      </c>
      <c r="C37" s="48">
        <v>29879.45</v>
      </c>
      <c r="D37" s="50" t="s">
        <v>51</v>
      </c>
      <c r="E37">
        <f t="shared" si="0"/>
        <v>-29592.695092026192</v>
      </c>
      <c r="F37">
        <f t="shared" si="4"/>
        <v>-29592.5</v>
      </c>
      <c r="G37" s="15">
        <f t="shared" si="1"/>
        <v>-0.13025536500208545</v>
      </c>
      <c r="I37">
        <f t="shared" ref="I37:I61" si="5">+G37</f>
        <v>-0.13025536500208545</v>
      </c>
      <c r="Q37" s="1">
        <f t="shared" si="3"/>
        <v>14860.95</v>
      </c>
    </row>
    <row r="38" spans="1:17" x14ac:dyDescent="0.2">
      <c r="A38" s="53" t="s">
        <v>118</v>
      </c>
      <c r="B38" s="55" t="s">
        <v>37</v>
      </c>
      <c r="C38" s="51">
        <v>30546.452000000001</v>
      </c>
      <c r="D38" s="52" t="s">
        <v>51</v>
      </c>
      <c r="E38">
        <f t="shared" si="0"/>
        <v>-28593.682332346969</v>
      </c>
      <c r="F38">
        <f t="shared" si="4"/>
        <v>-28593.5</v>
      </c>
      <c r="G38" s="15">
        <f t="shared" si="1"/>
        <v>-0.12173622300178977</v>
      </c>
      <c r="I38">
        <f t="shared" si="5"/>
        <v>-0.12173622300178977</v>
      </c>
      <c r="Q38" s="1">
        <f t="shared" si="3"/>
        <v>15527.952000000001</v>
      </c>
    </row>
    <row r="39" spans="1:17" x14ac:dyDescent="0.2">
      <c r="A39" s="48" t="s">
        <v>118</v>
      </c>
      <c r="B39" s="54" t="s">
        <v>37</v>
      </c>
      <c r="C39" s="48">
        <v>31229.504000000001</v>
      </c>
      <c r="D39" s="48" t="s">
        <v>51</v>
      </c>
      <c r="E39">
        <f t="shared" si="0"/>
        <v>-27570.630432166145</v>
      </c>
      <c r="F39">
        <f t="shared" si="4"/>
        <v>-27570.5</v>
      </c>
      <c r="G39" s="15">
        <f t="shared" si="1"/>
        <v>-8.7084489001426846E-2</v>
      </c>
      <c r="I39">
        <f t="shared" si="5"/>
        <v>-8.7084489001426846E-2</v>
      </c>
      <c r="Q39" s="1">
        <f t="shared" si="3"/>
        <v>16211.004000000001</v>
      </c>
    </row>
    <row r="40" spans="1:17" x14ac:dyDescent="0.2">
      <c r="A40" s="48" t="s">
        <v>118</v>
      </c>
      <c r="B40" s="54" t="s">
        <v>37</v>
      </c>
      <c r="C40" s="48">
        <v>31233.492999999999</v>
      </c>
      <c r="D40" s="48" t="s">
        <v>51</v>
      </c>
      <c r="E40">
        <f t="shared" si="0"/>
        <v>-27564.655844536184</v>
      </c>
      <c r="F40">
        <f t="shared" si="4"/>
        <v>-27564.5</v>
      </c>
      <c r="G40" s="15">
        <f t="shared" si="1"/>
        <v>-0.10405134100437863</v>
      </c>
      <c r="I40">
        <f t="shared" si="5"/>
        <v>-0.10405134100437863</v>
      </c>
      <c r="Q40" s="1">
        <f t="shared" si="3"/>
        <v>16214.992999999999</v>
      </c>
    </row>
    <row r="41" spans="1:17" x14ac:dyDescent="0.2">
      <c r="A41" s="48" t="s">
        <v>118</v>
      </c>
      <c r="B41" s="54" t="s">
        <v>37</v>
      </c>
      <c r="C41" s="48">
        <v>31647.465</v>
      </c>
      <c r="D41" s="48" t="s">
        <v>51</v>
      </c>
      <c r="E41">
        <f t="shared" si="0"/>
        <v>-26944.62275595485</v>
      </c>
      <c r="F41">
        <f t="shared" si="4"/>
        <v>-26944.5</v>
      </c>
      <c r="G41" s="15">
        <f t="shared" si="1"/>
        <v>-8.1959381001070142E-2</v>
      </c>
      <c r="I41">
        <f t="shared" si="5"/>
        <v>-8.1959381001070142E-2</v>
      </c>
      <c r="Q41" s="1">
        <f t="shared" si="3"/>
        <v>16628.965</v>
      </c>
    </row>
    <row r="42" spans="1:17" x14ac:dyDescent="0.2">
      <c r="A42" s="48" t="s">
        <v>118</v>
      </c>
      <c r="B42" s="54" t="s">
        <v>37</v>
      </c>
      <c r="C42" s="48">
        <v>31671.453000000001</v>
      </c>
      <c r="D42" s="48" t="s">
        <v>51</v>
      </c>
      <c r="E42">
        <f t="shared" si="0"/>
        <v>-26908.694350823851</v>
      </c>
      <c r="F42">
        <f t="shared" si="4"/>
        <v>-26908.5</v>
      </c>
      <c r="G42" s="15">
        <f t="shared" si="1"/>
        <v>-0.12976049300050363</v>
      </c>
      <c r="I42">
        <f t="shared" si="5"/>
        <v>-0.12976049300050363</v>
      </c>
      <c r="Q42" s="1">
        <f t="shared" si="3"/>
        <v>16652.953000000001</v>
      </c>
    </row>
    <row r="43" spans="1:17" x14ac:dyDescent="0.2">
      <c r="A43" s="48" t="s">
        <v>118</v>
      </c>
      <c r="B43" s="54" t="s">
        <v>37</v>
      </c>
      <c r="C43" s="48">
        <v>31762.31</v>
      </c>
      <c r="D43" s="48" t="s">
        <v>51</v>
      </c>
      <c r="E43">
        <f t="shared" si="0"/>
        <v>-26772.611846864082</v>
      </c>
      <c r="F43">
        <f t="shared" si="4"/>
        <v>-26772.5</v>
      </c>
      <c r="G43" s="15">
        <f t="shared" si="1"/>
        <v>-7.4675805000879336E-2</v>
      </c>
      <c r="I43">
        <f t="shared" si="5"/>
        <v>-7.4675805000879336E-2</v>
      </c>
      <c r="Q43" s="1">
        <f t="shared" si="3"/>
        <v>16743.810000000001</v>
      </c>
    </row>
    <row r="44" spans="1:17" x14ac:dyDescent="0.2">
      <c r="A44" s="48" t="s">
        <v>118</v>
      </c>
      <c r="B44" s="54" t="s">
        <v>37</v>
      </c>
      <c r="C44" s="48">
        <v>31936.524000000001</v>
      </c>
      <c r="D44" s="48" t="s">
        <v>51</v>
      </c>
      <c r="E44">
        <f t="shared" si="0"/>
        <v>-26511.680082169587</v>
      </c>
      <c r="F44">
        <f t="shared" si="4"/>
        <v>-26511.5</v>
      </c>
      <c r="G44" s="15">
        <f t="shared" si="1"/>
        <v>-0.12023386700093397</v>
      </c>
      <c r="I44">
        <f t="shared" si="5"/>
        <v>-0.12023386700093397</v>
      </c>
      <c r="Q44" s="1">
        <f t="shared" si="3"/>
        <v>16918.024000000001</v>
      </c>
    </row>
    <row r="45" spans="1:17" x14ac:dyDescent="0.2">
      <c r="A45" s="48" t="s">
        <v>118</v>
      </c>
      <c r="B45" s="54" t="s">
        <v>37</v>
      </c>
      <c r="C45" s="48">
        <v>32089.445</v>
      </c>
      <c r="D45" s="48" t="s">
        <v>51</v>
      </c>
      <c r="E45">
        <f t="shared" si="0"/>
        <v>-26282.640243873895</v>
      </c>
      <c r="F45">
        <f t="shared" si="4"/>
        <v>-26282.5</v>
      </c>
      <c r="G45" s="15">
        <f t="shared" si="1"/>
        <v>-9.3635385001107352E-2</v>
      </c>
      <c r="I45">
        <f t="shared" si="5"/>
        <v>-9.3635385001107352E-2</v>
      </c>
      <c r="Q45" s="1">
        <f t="shared" si="3"/>
        <v>17070.945</v>
      </c>
    </row>
    <row r="46" spans="1:17" x14ac:dyDescent="0.2">
      <c r="A46" s="48" t="s">
        <v>118</v>
      </c>
      <c r="B46" s="54" t="s">
        <v>37</v>
      </c>
      <c r="C46" s="48">
        <v>32354.468000000001</v>
      </c>
      <c r="D46" s="48" t="s">
        <v>51</v>
      </c>
      <c r="E46">
        <f t="shared" si="0"/>
        <v>-25885.697867976269</v>
      </c>
      <c r="F46">
        <f t="shared" si="4"/>
        <v>-25885.5</v>
      </c>
      <c r="G46" s="15">
        <f t="shared" si="1"/>
        <v>-0.13210875900040264</v>
      </c>
      <c r="I46">
        <f t="shared" si="5"/>
        <v>-0.13210875900040264</v>
      </c>
      <c r="Q46" s="1">
        <f t="shared" si="3"/>
        <v>17335.968000000001</v>
      </c>
    </row>
    <row r="47" spans="1:17" x14ac:dyDescent="0.2">
      <c r="A47" s="48" t="s">
        <v>118</v>
      </c>
      <c r="B47" s="54" t="s">
        <v>37</v>
      </c>
      <c r="C47" s="48">
        <v>33178.413</v>
      </c>
      <c r="D47" s="48" t="s">
        <v>51</v>
      </c>
      <c r="E47">
        <f t="shared" si="0"/>
        <v>-24651.6212561012</v>
      </c>
      <c r="F47">
        <f t="shared" si="4"/>
        <v>-24651.5</v>
      </c>
      <c r="G47" s="15">
        <f t="shared" si="1"/>
        <v>-8.0957987003785092E-2</v>
      </c>
      <c r="I47">
        <f t="shared" si="5"/>
        <v>-8.0957987003785092E-2</v>
      </c>
      <c r="Q47" s="1">
        <f t="shared" si="3"/>
        <v>18159.913</v>
      </c>
    </row>
    <row r="48" spans="1:17" x14ac:dyDescent="0.2">
      <c r="A48" s="48" t="s">
        <v>118</v>
      </c>
      <c r="B48" s="54" t="s">
        <v>37</v>
      </c>
      <c r="C48" s="48">
        <v>33558.313000000002</v>
      </c>
      <c r="D48" s="48" t="s">
        <v>51</v>
      </c>
      <c r="E48">
        <f t="shared" si="0"/>
        <v>-24082.620042608381</v>
      </c>
      <c r="F48">
        <f t="shared" si="4"/>
        <v>-24082.5</v>
      </c>
      <c r="G48" s="15">
        <f t="shared" si="1"/>
        <v>-8.0147784996370319E-2</v>
      </c>
      <c r="I48">
        <f t="shared" si="5"/>
        <v>-8.0147784996370319E-2</v>
      </c>
      <c r="Q48" s="1">
        <f t="shared" si="3"/>
        <v>18539.813000000002</v>
      </c>
    </row>
    <row r="49" spans="1:17" x14ac:dyDescent="0.2">
      <c r="A49" s="48" t="s">
        <v>118</v>
      </c>
      <c r="B49" s="54" t="s">
        <v>37</v>
      </c>
      <c r="C49" s="48">
        <v>33887.457000000002</v>
      </c>
      <c r="D49" s="48" t="s">
        <v>51</v>
      </c>
      <c r="E49">
        <f t="shared" si="0"/>
        <v>-23589.639428199644</v>
      </c>
      <c r="F49">
        <f t="shared" si="4"/>
        <v>-23589.5</v>
      </c>
      <c r="G49" s="15">
        <f t="shared" si="1"/>
        <v>-9.3090791000577156E-2</v>
      </c>
      <c r="I49">
        <f t="shared" si="5"/>
        <v>-9.3090791000577156E-2</v>
      </c>
      <c r="Q49" s="1">
        <f t="shared" si="3"/>
        <v>18868.957000000002</v>
      </c>
    </row>
    <row r="50" spans="1:17" x14ac:dyDescent="0.2">
      <c r="A50" s="48" t="s">
        <v>118</v>
      </c>
      <c r="B50" s="54" t="s">
        <v>37</v>
      </c>
      <c r="C50" s="48">
        <v>33891.461000000003</v>
      </c>
      <c r="D50" s="48" t="s">
        <v>51</v>
      </c>
      <c r="E50">
        <f t="shared" si="0"/>
        <v>-23583.642374083229</v>
      </c>
      <c r="F50">
        <f t="shared" si="4"/>
        <v>-23583.5</v>
      </c>
      <c r="G50" s="15">
        <f t="shared" si="1"/>
        <v>-9.5057642996835057E-2</v>
      </c>
      <c r="I50">
        <f t="shared" si="5"/>
        <v>-9.5057642996835057E-2</v>
      </c>
      <c r="Q50" s="1">
        <f t="shared" si="3"/>
        <v>18872.961000000003</v>
      </c>
    </row>
    <row r="51" spans="1:17" x14ac:dyDescent="0.2">
      <c r="A51" s="48" t="s">
        <v>118</v>
      </c>
      <c r="B51" s="54" t="s">
        <v>37</v>
      </c>
      <c r="C51" s="48">
        <v>33895.444000000003</v>
      </c>
      <c r="D51" s="48" t="s">
        <v>51</v>
      </c>
      <c r="E51">
        <f t="shared" si="0"/>
        <v>-23577.676773047846</v>
      </c>
      <c r="F51">
        <f t="shared" si="4"/>
        <v>-23577.5</v>
      </c>
      <c r="G51" s="15">
        <f t="shared" si="1"/>
        <v>-0.1180244950010092</v>
      </c>
      <c r="I51">
        <f t="shared" si="5"/>
        <v>-0.1180244950010092</v>
      </c>
      <c r="Q51" s="1">
        <f t="shared" si="3"/>
        <v>18876.944000000003</v>
      </c>
    </row>
    <row r="52" spans="1:17" x14ac:dyDescent="0.2">
      <c r="A52" s="48" t="s">
        <v>162</v>
      </c>
      <c r="B52" s="54" t="s">
        <v>39</v>
      </c>
      <c r="C52" s="48">
        <v>36898.284</v>
      </c>
      <c r="D52" s="48" t="s">
        <v>51</v>
      </c>
      <c r="E52">
        <f t="shared" si="0"/>
        <v>-19080.125828260352</v>
      </c>
      <c r="F52">
        <f t="shared" si="4"/>
        <v>-19080</v>
      </c>
      <c r="G52" s="15">
        <f t="shared" si="1"/>
        <v>-8.4010639999178238E-2</v>
      </c>
      <c r="I52">
        <f t="shared" si="5"/>
        <v>-8.4010639999178238E-2</v>
      </c>
      <c r="Q52" s="1">
        <f t="shared" si="3"/>
        <v>21879.784</v>
      </c>
    </row>
    <row r="53" spans="1:17" x14ac:dyDescent="0.2">
      <c r="A53" s="48" t="s">
        <v>162</v>
      </c>
      <c r="B53" s="54" t="s">
        <v>39</v>
      </c>
      <c r="C53" s="48">
        <v>37189.394</v>
      </c>
      <c r="D53" s="48" t="s">
        <v>51</v>
      </c>
      <c r="E53">
        <f t="shared" ref="E53:E89" si="6">+(C53-C$7)/C$8</f>
        <v>-18644.111236894481</v>
      </c>
      <c r="F53">
        <f t="shared" si="4"/>
        <v>-18644</v>
      </c>
      <c r="G53" s="15">
        <f t="shared" ref="G53:G89" si="7">C53-($C$7+$C$8*$F53)</f>
        <v>-7.4268552001740318E-2</v>
      </c>
      <c r="I53">
        <f t="shared" si="5"/>
        <v>-7.4268552001740318E-2</v>
      </c>
      <c r="Q53" s="1">
        <f t="shared" ref="Q53:Q89" si="8">+C53-15018.5</f>
        <v>22170.894</v>
      </c>
    </row>
    <row r="54" spans="1:17" x14ac:dyDescent="0.2">
      <c r="A54" s="48" t="s">
        <v>162</v>
      </c>
      <c r="B54" s="54" t="s">
        <v>37</v>
      </c>
      <c r="C54" s="48">
        <v>37190.370000000003</v>
      </c>
      <c r="D54" s="48" t="s">
        <v>51</v>
      </c>
      <c r="E54">
        <f t="shared" si="6"/>
        <v>-18642.649417509459</v>
      </c>
      <c r="F54">
        <f t="shared" si="4"/>
        <v>-18642.5</v>
      </c>
      <c r="G54" s="15">
        <f t="shared" si="7"/>
        <v>-9.9760265002259985E-2</v>
      </c>
      <c r="I54">
        <f t="shared" si="5"/>
        <v>-9.9760265002259985E-2</v>
      </c>
      <c r="Q54" s="1">
        <f t="shared" si="8"/>
        <v>22171.870000000003</v>
      </c>
    </row>
    <row r="55" spans="1:17" x14ac:dyDescent="0.2">
      <c r="A55" s="48" t="s">
        <v>162</v>
      </c>
      <c r="B55" s="54" t="s">
        <v>37</v>
      </c>
      <c r="C55" s="48">
        <v>37192.415999999997</v>
      </c>
      <c r="D55" s="48" t="s">
        <v>51</v>
      </c>
      <c r="E55">
        <f t="shared" si="6"/>
        <v>-18639.584988757673</v>
      </c>
      <c r="F55">
        <f t="shared" si="4"/>
        <v>-18639.5</v>
      </c>
      <c r="G55" s="15">
        <f t="shared" si="7"/>
        <v>-5.6743691005976871E-2</v>
      </c>
      <c r="I55">
        <f t="shared" si="5"/>
        <v>-5.6743691005976871E-2</v>
      </c>
      <c r="Q55" s="1">
        <f t="shared" si="8"/>
        <v>22173.915999999997</v>
      </c>
    </row>
    <row r="56" spans="1:17" x14ac:dyDescent="0.2">
      <c r="A56" s="48" t="s">
        <v>162</v>
      </c>
      <c r="B56" s="54" t="s">
        <v>37</v>
      </c>
      <c r="C56" s="48">
        <v>37202.423000000003</v>
      </c>
      <c r="D56" s="48" t="s">
        <v>51</v>
      </c>
      <c r="E56">
        <f t="shared" si="6"/>
        <v>-18624.596846763925</v>
      </c>
      <c r="F56">
        <f t="shared" si="4"/>
        <v>-18624.5</v>
      </c>
      <c r="G56" s="15">
        <f t="shared" si="7"/>
        <v>-6.4660821000870783E-2</v>
      </c>
      <c r="I56">
        <f t="shared" si="5"/>
        <v>-6.4660821000870783E-2</v>
      </c>
      <c r="Q56" s="1">
        <f t="shared" si="8"/>
        <v>22183.923000000003</v>
      </c>
    </row>
    <row r="57" spans="1:17" x14ac:dyDescent="0.2">
      <c r="A57" s="48" t="s">
        <v>162</v>
      </c>
      <c r="B57" s="54" t="s">
        <v>39</v>
      </c>
      <c r="C57" s="48">
        <v>37575.31</v>
      </c>
      <c r="D57" s="48" t="s">
        <v>51</v>
      </c>
      <c r="E57">
        <f t="shared" si="6"/>
        <v>-18066.099464569415</v>
      </c>
      <c r="F57">
        <f t="shared" si="4"/>
        <v>-18066</v>
      </c>
      <c r="G57" s="15">
        <f t="shared" si="7"/>
        <v>-6.6408628001227044E-2</v>
      </c>
      <c r="I57">
        <f t="shared" si="5"/>
        <v>-6.6408628001227044E-2</v>
      </c>
      <c r="Q57" s="1">
        <f t="shared" si="8"/>
        <v>22556.809999999998</v>
      </c>
    </row>
    <row r="58" spans="1:17" x14ac:dyDescent="0.2">
      <c r="A58" s="48" t="s">
        <v>162</v>
      </c>
      <c r="B58" s="54" t="s">
        <v>37</v>
      </c>
      <c r="C58" s="48">
        <v>37885.410000000003</v>
      </c>
      <c r="D58" s="48" t="s">
        <v>51</v>
      </c>
      <c r="E58">
        <f t="shared" si="6"/>
        <v>-17601.642301357715</v>
      </c>
      <c r="F58">
        <f t="shared" si="4"/>
        <v>-17601.5</v>
      </c>
      <c r="G58" s="15">
        <f t="shared" si="7"/>
        <v>-9.5009087002836168E-2</v>
      </c>
      <c r="I58">
        <f t="shared" si="5"/>
        <v>-9.5009087002836168E-2</v>
      </c>
      <c r="Q58" s="1">
        <f t="shared" si="8"/>
        <v>22866.910000000003</v>
      </c>
    </row>
    <row r="59" spans="1:17" x14ac:dyDescent="0.2">
      <c r="A59" s="48" t="s">
        <v>162</v>
      </c>
      <c r="B59" s="54" t="s">
        <v>39</v>
      </c>
      <c r="C59" s="48">
        <v>37886.446000000004</v>
      </c>
      <c r="D59" s="48" t="s">
        <v>51</v>
      </c>
      <c r="E59">
        <f t="shared" si="6"/>
        <v>-17600.090616026893</v>
      </c>
      <c r="F59">
        <f t="shared" si="4"/>
        <v>-17600</v>
      </c>
      <c r="G59" s="15">
        <f t="shared" si="7"/>
        <v>-6.0500799998408183E-2</v>
      </c>
      <c r="I59">
        <f t="shared" si="5"/>
        <v>-6.0500799998408183E-2</v>
      </c>
      <c r="Q59" s="1">
        <f t="shared" si="8"/>
        <v>22867.946000000004</v>
      </c>
    </row>
    <row r="60" spans="1:17" x14ac:dyDescent="0.2">
      <c r="A60" s="48" t="s">
        <v>162</v>
      </c>
      <c r="B60" s="54" t="s">
        <v>39</v>
      </c>
      <c r="C60" s="48">
        <v>38288.370000000003</v>
      </c>
      <c r="D60" s="48" t="s">
        <v>51</v>
      </c>
      <c r="E60">
        <f t="shared" si="6"/>
        <v>-16998.102609362282</v>
      </c>
      <c r="F60">
        <f t="shared" si="4"/>
        <v>-16998</v>
      </c>
      <c r="G60" s="15">
        <f t="shared" si="7"/>
        <v>-6.8508283999108244E-2</v>
      </c>
      <c r="I60">
        <f t="shared" si="5"/>
        <v>-6.8508283999108244E-2</v>
      </c>
      <c r="O60">
        <f t="shared" ref="O60:O89" ca="1" si="9">+C$11+C$12*$F60</f>
        <v>0.1152569068375965</v>
      </c>
      <c r="Q60" s="1">
        <f t="shared" si="8"/>
        <v>23269.870000000003</v>
      </c>
    </row>
    <row r="61" spans="1:17" x14ac:dyDescent="0.2">
      <c r="A61" s="48" t="s">
        <v>162</v>
      </c>
      <c r="B61" s="54" t="s">
        <v>37</v>
      </c>
      <c r="C61" s="48">
        <v>38289.362999999998</v>
      </c>
      <c r="D61" s="48" t="s">
        <v>51</v>
      </c>
      <c r="E61">
        <f t="shared" si="6"/>
        <v>-16996.615327959291</v>
      </c>
      <c r="F61">
        <f t="shared" si="4"/>
        <v>-16996.5</v>
      </c>
      <c r="G61" s="15">
        <f t="shared" si="7"/>
        <v>-7.6999997007078491E-2</v>
      </c>
      <c r="I61">
        <f t="shared" si="5"/>
        <v>-7.6999997007078491E-2</v>
      </c>
      <c r="O61">
        <f t="shared" ca="1" si="9"/>
        <v>0.11524923274222913</v>
      </c>
      <c r="Q61" s="1">
        <f t="shared" si="8"/>
        <v>23270.862999999998</v>
      </c>
    </row>
    <row r="62" spans="1:17" x14ac:dyDescent="0.2">
      <c r="A62" s="48" t="s">
        <v>195</v>
      </c>
      <c r="B62" s="54" t="s">
        <v>39</v>
      </c>
      <c r="C62" s="48">
        <v>49229.402999999998</v>
      </c>
      <c r="D62" s="48" t="s">
        <v>51</v>
      </c>
      <c r="E62">
        <f t="shared" si="6"/>
        <v>-610.99796639056933</v>
      </c>
      <c r="F62">
        <f t="shared" si="4"/>
        <v>-611</v>
      </c>
      <c r="G62" s="15">
        <f t="shared" si="7"/>
        <v>1.3577619974967092E-3</v>
      </c>
      <c r="K62">
        <f>G62</f>
        <v>1.3577619974967092E-3</v>
      </c>
      <c r="O62">
        <f t="shared" ca="1" si="9"/>
        <v>3.1419972980905264E-2</v>
      </c>
      <c r="Q62" s="1">
        <f t="shared" si="8"/>
        <v>34210.902999999998</v>
      </c>
    </row>
    <row r="63" spans="1:17" x14ac:dyDescent="0.2">
      <c r="A63" s="48" t="s">
        <v>195</v>
      </c>
      <c r="B63" s="54" t="s">
        <v>39</v>
      </c>
      <c r="C63" s="48">
        <v>49237.4113</v>
      </c>
      <c r="D63" s="48" t="s">
        <v>51</v>
      </c>
      <c r="E63">
        <f t="shared" si="6"/>
        <v>-599.00340882801265</v>
      </c>
      <c r="F63">
        <f t="shared" si="4"/>
        <v>-599</v>
      </c>
      <c r="G63" s="15">
        <f t="shared" si="7"/>
        <v>-2.2759420025977306E-3</v>
      </c>
      <c r="K63">
        <f>G63</f>
        <v>-2.2759420025977306E-3</v>
      </c>
      <c r="O63">
        <f t="shared" ca="1" si="9"/>
        <v>3.1358580217966329E-2</v>
      </c>
      <c r="Q63" s="1">
        <f t="shared" si="8"/>
        <v>34218.9113</v>
      </c>
    </row>
    <row r="64" spans="1:17" x14ac:dyDescent="0.2">
      <c r="A64" t="s">
        <v>32</v>
      </c>
      <c r="B64" s="2"/>
      <c r="C64" s="15">
        <v>49637.342600000004</v>
      </c>
      <c r="D64" s="15"/>
      <c r="E64">
        <f t="shared" si="6"/>
        <v>0</v>
      </c>
      <c r="F64">
        <f t="shared" ref="F64:F92" si="10">ROUND(2*E64,0)/2</f>
        <v>0</v>
      </c>
      <c r="G64" s="15">
        <f t="shared" si="7"/>
        <v>0</v>
      </c>
      <c r="J64">
        <f>+G64</f>
        <v>0</v>
      </c>
      <c r="O64">
        <f t="shared" ca="1" si="9"/>
        <v>2.8294058134597927E-2</v>
      </c>
      <c r="Q64" s="1">
        <f t="shared" si="8"/>
        <v>34618.842600000004</v>
      </c>
    </row>
    <row r="65" spans="1:17" x14ac:dyDescent="0.2">
      <c r="A65" t="s">
        <v>32</v>
      </c>
      <c r="B65" s="2" t="s">
        <v>39</v>
      </c>
      <c r="C65" s="15">
        <v>49640.348400000003</v>
      </c>
      <c r="D65" s="15"/>
      <c r="E65">
        <f t="shared" si="6"/>
        <v>4.5019843314454846</v>
      </c>
      <c r="F65">
        <f t="shared" si="10"/>
        <v>4.5</v>
      </c>
      <c r="G65" s="15">
        <f t="shared" si="7"/>
        <v>1.3248609975562431E-3</v>
      </c>
      <c r="J65">
        <f>+G65</f>
        <v>1.3248609975562431E-3</v>
      </c>
      <c r="O65">
        <f t="shared" ca="1" si="9"/>
        <v>2.8271035848495826E-2</v>
      </c>
      <c r="Q65" s="1">
        <f t="shared" si="8"/>
        <v>34621.848400000003</v>
      </c>
    </row>
    <row r="66" spans="1:17" x14ac:dyDescent="0.2">
      <c r="A66" t="s">
        <v>33</v>
      </c>
      <c r="B66" s="2"/>
      <c r="C66" s="15">
        <v>50320.364000000001</v>
      </c>
      <c r="D66" s="15">
        <v>3.0000000000000001E-3</v>
      </c>
      <c r="E66">
        <f t="shared" si="6"/>
        <v>1023.006068548464</v>
      </c>
      <c r="F66">
        <f t="shared" si="10"/>
        <v>1023</v>
      </c>
      <c r="G66" s="15">
        <f t="shared" si="7"/>
        <v>4.0517339948564768E-3</v>
      </c>
      <c r="I66">
        <f>+G66</f>
        <v>4.0517339948564768E-3</v>
      </c>
      <c r="K66">
        <f>+G65</f>
        <v>1.3248609975562431E-3</v>
      </c>
      <c r="O66">
        <f t="shared" ca="1" si="9"/>
        <v>2.3060325094053889E-2</v>
      </c>
      <c r="Q66" s="1">
        <f t="shared" si="8"/>
        <v>35301.864000000001</v>
      </c>
    </row>
    <row r="67" spans="1:17" x14ac:dyDescent="0.2">
      <c r="A67" t="s">
        <v>34</v>
      </c>
      <c r="B67" s="2" t="s">
        <v>39</v>
      </c>
      <c r="C67" s="15">
        <v>51034.424200000001</v>
      </c>
      <c r="D67" s="15"/>
      <c r="E67">
        <f t="shared" si="6"/>
        <v>2092.5009890720848</v>
      </c>
      <c r="F67">
        <f t="shared" si="10"/>
        <v>2092.5</v>
      </c>
      <c r="G67" s="15">
        <f t="shared" si="7"/>
        <v>6.6036499629262835E-4</v>
      </c>
      <c r="J67">
        <f>+G67</f>
        <v>6.6036499629262835E-4</v>
      </c>
      <c r="O67">
        <f t="shared" ca="1" si="9"/>
        <v>1.7588695097121486E-2</v>
      </c>
      <c r="Q67" s="1">
        <f t="shared" si="8"/>
        <v>36015.924200000001</v>
      </c>
    </row>
    <row r="68" spans="1:17" x14ac:dyDescent="0.2">
      <c r="A68" s="7" t="s">
        <v>36</v>
      </c>
      <c r="B68" s="14" t="s">
        <v>37</v>
      </c>
      <c r="C68" s="16">
        <v>51697.410400000001</v>
      </c>
      <c r="D68" s="16">
        <v>1.6000000000000001E-3</v>
      </c>
      <c r="E68">
        <f t="shared" si="6"/>
        <v>3085.4990209988841</v>
      </c>
      <c r="F68">
        <f t="shared" si="10"/>
        <v>3085.5</v>
      </c>
      <c r="G68" s="15">
        <f t="shared" si="7"/>
        <v>-6.5364100009901449E-4</v>
      </c>
      <c r="K68">
        <f t="shared" ref="K68:K74" si="11">+G68</f>
        <v>-6.5364100009901449E-4</v>
      </c>
      <c r="O68">
        <f t="shared" ca="1" si="9"/>
        <v>1.2508443963924785E-2</v>
      </c>
      <c r="Q68" s="1">
        <f t="shared" si="8"/>
        <v>36678.910400000001</v>
      </c>
    </row>
    <row r="69" spans="1:17" x14ac:dyDescent="0.2">
      <c r="A69" s="59" t="s">
        <v>50</v>
      </c>
      <c r="B69" s="60" t="s">
        <v>37</v>
      </c>
      <c r="C69" s="59">
        <v>51699.413999999997</v>
      </c>
      <c r="D69" s="59">
        <v>2.3999999999999998E-3</v>
      </c>
      <c r="E69">
        <f t="shared" si="6"/>
        <v>3088.4999444823065</v>
      </c>
      <c r="F69">
        <f t="shared" si="10"/>
        <v>3088.5</v>
      </c>
      <c r="G69" s="15">
        <f t="shared" si="7"/>
        <v>-3.7067009543534368E-5</v>
      </c>
      <c r="K69">
        <f t="shared" si="11"/>
        <v>-3.7067009543534368E-5</v>
      </c>
      <c r="O69">
        <f t="shared" ca="1" si="9"/>
        <v>1.2493095773190049E-2</v>
      </c>
      <c r="Q69" s="1">
        <f t="shared" si="8"/>
        <v>36680.913999999997</v>
      </c>
    </row>
    <row r="70" spans="1:17" x14ac:dyDescent="0.2">
      <c r="A70" s="59" t="s">
        <v>50</v>
      </c>
      <c r="B70" s="60" t="s">
        <v>37</v>
      </c>
      <c r="C70" s="59">
        <v>51705.430800000002</v>
      </c>
      <c r="D70" s="59" t="s">
        <v>51</v>
      </c>
      <c r="E70">
        <f t="shared" si="6"/>
        <v>3097.5117015271771</v>
      </c>
      <c r="F70">
        <f t="shared" si="10"/>
        <v>3097.5</v>
      </c>
      <c r="G70" s="15">
        <f t="shared" si="7"/>
        <v>7.8126549997250549E-3</v>
      </c>
      <c r="K70">
        <f t="shared" si="11"/>
        <v>7.8126549997250549E-3</v>
      </c>
      <c r="O70">
        <f t="shared" ca="1" si="9"/>
        <v>1.244705120098585E-2</v>
      </c>
      <c r="Q70" s="1">
        <f t="shared" si="8"/>
        <v>36686.930800000002</v>
      </c>
    </row>
    <row r="71" spans="1:17" x14ac:dyDescent="0.2">
      <c r="A71" s="59" t="s">
        <v>50</v>
      </c>
      <c r="B71" s="60" t="s">
        <v>37</v>
      </c>
      <c r="C71" s="59">
        <v>51707.424950000001</v>
      </c>
      <c r="D71" s="59">
        <v>3.0000000000000001E-3</v>
      </c>
      <c r="E71">
        <f t="shared" si="6"/>
        <v>3100.4984711241391</v>
      </c>
      <c r="F71">
        <f t="shared" si="10"/>
        <v>3100.5</v>
      </c>
      <c r="G71" s="15">
        <f t="shared" si="7"/>
        <v>-1.0207710001850501E-3</v>
      </c>
      <c r="K71">
        <f t="shared" si="11"/>
        <v>-1.0207710001850501E-3</v>
      </c>
      <c r="O71">
        <f t="shared" ca="1" si="9"/>
        <v>1.2431703010251118E-2</v>
      </c>
      <c r="Q71" s="1">
        <f t="shared" si="8"/>
        <v>36688.924950000001</v>
      </c>
    </row>
    <row r="72" spans="1:17" x14ac:dyDescent="0.2">
      <c r="A72" s="59" t="s">
        <v>50</v>
      </c>
      <c r="B72" s="60" t="s">
        <v>37</v>
      </c>
      <c r="C72" s="59">
        <v>51731.462599999999</v>
      </c>
      <c r="D72" s="59" t="s">
        <v>52</v>
      </c>
      <c r="E72">
        <f t="shared" si="6"/>
        <v>3136.5012403252836</v>
      </c>
      <c r="F72">
        <f t="shared" si="10"/>
        <v>3136.5</v>
      </c>
      <c r="G72" s="15">
        <f t="shared" si="7"/>
        <v>8.2811699394369498E-4</v>
      </c>
      <c r="K72">
        <f t="shared" si="11"/>
        <v>8.2811699394369498E-4</v>
      </c>
      <c r="O72">
        <f t="shared" ca="1" si="9"/>
        <v>1.2247524721434318E-2</v>
      </c>
      <c r="Q72" s="1">
        <f t="shared" si="8"/>
        <v>36712.962599999999</v>
      </c>
    </row>
    <row r="73" spans="1:17" x14ac:dyDescent="0.2">
      <c r="A73" s="59" t="s">
        <v>50</v>
      </c>
      <c r="B73" s="60" t="s">
        <v>39</v>
      </c>
      <c r="C73" s="59">
        <v>52427.495600000002</v>
      </c>
      <c r="D73" s="59" t="s">
        <v>53</v>
      </c>
      <c r="E73">
        <f t="shared" si="6"/>
        <v>4178.9956378800289</v>
      </c>
      <c r="F73">
        <f t="shared" si="10"/>
        <v>4179</v>
      </c>
      <c r="G73" s="15">
        <f t="shared" si="7"/>
        <v>-2.9124180000508204E-3</v>
      </c>
      <c r="K73">
        <f t="shared" si="11"/>
        <v>-2.9124180000508204E-3</v>
      </c>
      <c r="O73">
        <f t="shared" ca="1" si="9"/>
        <v>6.9140284411145156E-3</v>
      </c>
      <c r="Q73" s="1">
        <f t="shared" si="8"/>
        <v>37408.995600000002</v>
      </c>
    </row>
    <row r="74" spans="1:17" x14ac:dyDescent="0.2">
      <c r="A74" s="7" t="s">
        <v>38</v>
      </c>
      <c r="B74" s="61" t="s">
        <v>37</v>
      </c>
      <c r="C74" s="62">
        <v>52549.686000000002</v>
      </c>
      <c r="D74" s="63">
        <v>1E-4</v>
      </c>
      <c r="E74">
        <f t="shared" si="6"/>
        <v>4362.0082356088315</v>
      </c>
      <c r="F74">
        <f t="shared" si="10"/>
        <v>4362</v>
      </c>
      <c r="G74" s="15">
        <f t="shared" si="7"/>
        <v>5.4985960014164448E-3</v>
      </c>
      <c r="K74">
        <f t="shared" si="11"/>
        <v>5.4985960014164448E-3</v>
      </c>
      <c r="O74">
        <f t="shared" ca="1" si="9"/>
        <v>5.9777888062957883E-3</v>
      </c>
      <c r="Q74" s="1">
        <f t="shared" si="8"/>
        <v>37531.186000000002</v>
      </c>
    </row>
    <row r="75" spans="1:17" x14ac:dyDescent="0.2">
      <c r="A75" s="64" t="s">
        <v>35</v>
      </c>
      <c r="B75" s="65"/>
      <c r="C75" s="7">
        <v>52557.358899999999</v>
      </c>
      <c r="D75" s="7">
        <v>5.9999999999999995E-4</v>
      </c>
      <c r="E75">
        <f t="shared" si="6"/>
        <v>4373.5004425343586</v>
      </c>
      <c r="F75">
        <f t="shared" si="10"/>
        <v>4373.5</v>
      </c>
      <c r="G75" s="15">
        <f t="shared" si="7"/>
        <v>2.9546299629146233E-4</v>
      </c>
      <c r="J75">
        <f>+G75</f>
        <v>2.9546299629146233E-4</v>
      </c>
      <c r="O75">
        <f t="shared" ca="1" si="9"/>
        <v>5.9189540751459768E-3</v>
      </c>
      <c r="Q75" s="1">
        <f t="shared" si="8"/>
        <v>37538.858899999999</v>
      </c>
    </row>
    <row r="76" spans="1:17" x14ac:dyDescent="0.2">
      <c r="A76" s="66" t="s">
        <v>40</v>
      </c>
      <c r="B76" s="67"/>
      <c r="C76" s="68">
        <v>52829.428999999996</v>
      </c>
      <c r="D76" s="68">
        <v>2.3E-3</v>
      </c>
      <c r="E76">
        <f t="shared" si="6"/>
        <v>4780.9977235428096</v>
      </c>
      <c r="F76">
        <f t="shared" si="10"/>
        <v>4781</v>
      </c>
      <c r="G76" s="15">
        <f t="shared" si="7"/>
        <v>-1.5199020053842105E-3</v>
      </c>
      <c r="J76">
        <f>+G76</f>
        <v>-1.5199020053842105E-3</v>
      </c>
      <c r="O76">
        <f t="shared" ca="1" si="9"/>
        <v>3.8341581670113777E-3</v>
      </c>
      <c r="Q76" s="1">
        <f t="shared" si="8"/>
        <v>37810.928999999996</v>
      </c>
    </row>
    <row r="77" spans="1:17" x14ac:dyDescent="0.2">
      <c r="A77" s="66" t="s">
        <v>40</v>
      </c>
      <c r="B77" s="65" t="s">
        <v>39</v>
      </c>
      <c r="C77" s="68">
        <v>52862.459499999997</v>
      </c>
      <c r="D77" s="68">
        <v>2E-3</v>
      </c>
      <c r="E77">
        <f t="shared" si="6"/>
        <v>4830.469675588809</v>
      </c>
      <c r="F77">
        <f t="shared" si="10"/>
        <v>4830.5</v>
      </c>
      <c r="G77" s="15">
        <f t="shared" si="7"/>
        <v>-2.0246431005944032E-2</v>
      </c>
      <c r="J77">
        <f>+G77</f>
        <v>-2.0246431005944032E-2</v>
      </c>
      <c r="O77">
        <f t="shared" ca="1" si="9"/>
        <v>3.5809130198882766E-3</v>
      </c>
      <c r="Q77" s="1">
        <f t="shared" si="8"/>
        <v>37843.959499999997</v>
      </c>
    </row>
    <row r="78" spans="1:17" x14ac:dyDescent="0.2">
      <c r="A78" s="59" t="s">
        <v>50</v>
      </c>
      <c r="B78" s="60" t="s">
        <v>39</v>
      </c>
      <c r="C78" s="59">
        <v>53936.402670000003</v>
      </c>
      <c r="D78" s="59">
        <v>2E-3</v>
      </c>
      <c r="E78">
        <f t="shared" si="6"/>
        <v>6438.9849873875082</v>
      </c>
      <c r="F78">
        <f t="shared" si="10"/>
        <v>6439</v>
      </c>
      <c r="G78" s="15">
        <f t="shared" si="7"/>
        <v>-1.0023337999882642E-2</v>
      </c>
      <c r="K78">
        <f>+G78</f>
        <v>-1.0023337999882642E-2</v>
      </c>
      <c r="O78">
        <f t="shared" ca="1" si="9"/>
        <v>-4.648275245717863E-3</v>
      </c>
      <c r="Q78" s="1">
        <f t="shared" si="8"/>
        <v>38917.902670000003</v>
      </c>
    </row>
    <row r="79" spans="1:17" x14ac:dyDescent="0.2">
      <c r="A79" s="7" t="s">
        <v>48</v>
      </c>
      <c r="B79" s="65" t="s">
        <v>39</v>
      </c>
      <c r="C79" s="7">
        <v>53989.486199999999</v>
      </c>
      <c r="D79" s="7">
        <v>2.9999999999999997E-4</v>
      </c>
      <c r="E79">
        <f t="shared" si="6"/>
        <v>6518.4916812187275</v>
      </c>
      <c r="F79">
        <f t="shared" si="10"/>
        <v>6518.5</v>
      </c>
      <c r="G79" s="15">
        <f t="shared" si="7"/>
        <v>-5.5541270048706792E-3</v>
      </c>
      <c r="J79">
        <f>+G79</f>
        <v>-5.5541270048706792E-3</v>
      </c>
      <c r="O79">
        <f t="shared" ca="1" si="9"/>
        <v>-5.0550023001882938E-3</v>
      </c>
      <c r="Q79" s="1">
        <f t="shared" si="8"/>
        <v>38970.986199999999</v>
      </c>
    </row>
    <row r="80" spans="1:17" x14ac:dyDescent="0.2">
      <c r="A80" s="7" t="s">
        <v>48</v>
      </c>
      <c r="B80" s="65" t="s">
        <v>39</v>
      </c>
      <c r="C80" s="7">
        <v>53991.490400000002</v>
      </c>
      <c r="D80" s="7">
        <v>2.9999999999999997E-4</v>
      </c>
      <c r="E80">
        <f t="shared" si="6"/>
        <v>6521.4935033616175</v>
      </c>
      <c r="F80">
        <f t="shared" si="10"/>
        <v>6521.5</v>
      </c>
      <c r="G80" s="15">
        <f t="shared" si="7"/>
        <v>-4.3375530003686436E-3</v>
      </c>
      <c r="J80">
        <f>+G80</f>
        <v>-4.3375530003686436E-3</v>
      </c>
      <c r="O80">
        <f t="shared" ca="1" si="9"/>
        <v>-5.0703504909230257E-3</v>
      </c>
      <c r="Q80" s="1">
        <f t="shared" si="8"/>
        <v>38972.990400000002</v>
      </c>
    </row>
    <row r="81" spans="1:21" x14ac:dyDescent="0.2">
      <c r="A81" s="59" t="s">
        <v>50</v>
      </c>
      <c r="B81" s="60" t="s">
        <v>39</v>
      </c>
      <c r="C81" s="59">
        <v>54364.370690000003</v>
      </c>
      <c r="D81" s="59">
        <v>8.0000000000000004E-4</v>
      </c>
      <c r="E81">
        <f t="shared" si="6"/>
        <v>7079.9808355478617</v>
      </c>
      <c r="F81">
        <f t="shared" si="10"/>
        <v>7080</v>
      </c>
      <c r="G81" s="15">
        <f t="shared" si="7"/>
        <v>-1.2795360002201051E-2</v>
      </c>
      <c r="K81">
        <f t="shared" ref="K81:K86" si="12">+G81</f>
        <v>-1.2795360002201051E-2</v>
      </c>
      <c r="O81">
        <f t="shared" ca="1" si="9"/>
        <v>-7.9276719993725334E-3</v>
      </c>
      <c r="Q81" s="1">
        <f t="shared" si="8"/>
        <v>39345.870690000003</v>
      </c>
    </row>
    <row r="82" spans="1:21" x14ac:dyDescent="0.2">
      <c r="A82" s="59" t="s">
        <v>50</v>
      </c>
      <c r="B82" s="60" t="s">
        <v>39</v>
      </c>
      <c r="C82" s="59">
        <v>54364.374089999998</v>
      </c>
      <c r="D82" s="59">
        <v>5.0000000000000001E-4</v>
      </c>
      <c r="E82">
        <f t="shared" si="6"/>
        <v>7079.9859279514485</v>
      </c>
      <c r="F82">
        <f t="shared" si="10"/>
        <v>7080</v>
      </c>
      <c r="G82" s="15">
        <f t="shared" si="7"/>
        <v>-9.3953600080567412E-3</v>
      </c>
      <c r="K82">
        <f t="shared" si="12"/>
        <v>-9.3953600080567412E-3</v>
      </c>
      <c r="O82">
        <f t="shared" ca="1" si="9"/>
        <v>-7.9276719993725334E-3</v>
      </c>
      <c r="Q82" s="1">
        <f t="shared" si="8"/>
        <v>39345.874089999998</v>
      </c>
    </row>
    <row r="83" spans="1:21" x14ac:dyDescent="0.2">
      <c r="A83" s="59" t="s">
        <v>50</v>
      </c>
      <c r="B83" s="60" t="s">
        <v>39</v>
      </c>
      <c r="C83" s="59">
        <v>54364.374389999997</v>
      </c>
      <c r="D83" s="59">
        <v>6.9999999999999999E-4</v>
      </c>
      <c r="E83">
        <f t="shared" si="6"/>
        <v>7079.9863772811768</v>
      </c>
      <c r="F83">
        <f t="shared" si="10"/>
        <v>7080</v>
      </c>
      <c r="G83" s="15">
        <f t="shared" si="7"/>
        <v>-9.095360008359421E-3</v>
      </c>
      <c r="K83">
        <f t="shared" si="12"/>
        <v>-9.095360008359421E-3</v>
      </c>
      <c r="O83">
        <f t="shared" ca="1" si="9"/>
        <v>-7.9276719993725334E-3</v>
      </c>
      <c r="Q83" s="1">
        <f t="shared" si="8"/>
        <v>39345.874389999997</v>
      </c>
    </row>
    <row r="84" spans="1:21" x14ac:dyDescent="0.2">
      <c r="A84" s="7" t="s">
        <v>54</v>
      </c>
      <c r="B84" s="65" t="s">
        <v>39</v>
      </c>
      <c r="C84" s="7">
        <v>54611.409050000002</v>
      </c>
      <c r="D84" s="7">
        <v>5.0000000000000001E-4</v>
      </c>
      <c r="E84">
        <f t="shared" si="6"/>
        <v>7449.9864333874893</v>
      </c>
      <c r="F84">
        <f t="shared" si="10"/>
        <v>7450</v>
      </c>
      <c r="G84" s="15">
        <f t="shared" si="7"/>
        <v>-9.0579000025172718E-3</v>
      </c>
      <c r="K84">
        <f t="shared" si="12"/>
        <v>-9.0579000025172718E-3</v>
      </c>
      <c r="O84">
        <f t="shared" ca="1" si="9"/>
        <v>-9.8206155233229661E-3</v>
      </c>
      <c r="Q84" s="1">
        <f t="shared" si="8"/>
        <v>39592.909050000002</v>
      </c>
    </row>
    <row r="85" spans="1:21" x14ac:dyDescent="0.2">
      <c r="A85" s="7" t="s">
        <v>54</v>
      </c>
      <c r="B85" s="65" t="s">
        <v>39</v>
      </c>
      <c r="C85" s="7">
        <v>54611.409050000002</v>
      </c>
      <c r="D85" s="7">
        <v>1.1999999999999999E-3</v>
      </c>
      <c r="E85">
        <f t="shared" si="6"/>
        <v>7449.9864333874893</v>
      </c>
      <c r="F85">
        <f t="shared" si="10"/>
        <v>7450</v>
      </c>
      <c r="G85" s="15">
        <f t="shared" si="7"/>
        <v>-9.0579000025172718E-3</v>
      </c>
      <c r="K85">
        <f t="shared" si="12"/>
        <v>-9.0579000025172718E-3</v>
      </c>
      <c r="O85">
        <f t="shared" ca="1" si="9"/>
        <v>-9.8206155233229661E-3</v>
      </c>
      <c r="Q85" s="1">
        <f t="shared" si="8"/>
        <v>39592.909050000002</v>
      </c>
    </row>
    <row r="86" spans="1:21" x14ac:dyDescent="0.2">
      <c r="A86" s="7" t="s">
        <v>54</v>
      </c>
      <c r="B86" s="65" t="s">
        <v>39</v>
      </c>
      <c r="C86" s="7">
        <v>54611.409350000002</v>
      </c>
      <c r="D86" s="7">
        <v>5.0000000000000001E-4</v>
      </c>
      <c r="E86">
        <f t="shared" si="6"/>
        <v>7449.9868827172177</v>
      </c>
      <c r="F86">
        <f t="shared" si="10"/>
        <v>7450</v>
      </c>
      <c r="G86" s="15">
        <f t="shared" si="7"/>
        <v>-8.7579000028199516E-3</v>
      </c>
      <c r="K86">
        <f t="shared" si="12"/>
        <v>-8.7579000028199516E-3</v>
      </c>
      <c r="O86">
        <f t="shared" ca="1" si="9"/>
        <v>-9.8206155233229661E-3</v>
      </c>
      <c r="Q86" s="1">
        <f t="shared" si="8"/>
        <v>39592.909350000002</v>
      </c>
    </row>
    <row r="87" spans="1:21" x14ac:dyDescent="0.2">
      <c r="A87" s="48" t="s">
        <v>294</v>
      </c>
      <c r="B87" s="54" t="s">
        <v>39</v>
      </c>
      <c r="C87" s="48">
        <v>54697.541299999997</v>
      </c>
      <c r="D87" s="48" t="s">
        <v>51</v>
      </c>
      <c r="E87">
        <f t="shared" si="6"/>
        <v>7578.9923685569129</v>
      </c>
      <c r="F87">
        <f t="shared" si="10"/>
        <v>7579</v>
      </c>
      <c r="G87" s="15">
        <f t="shared" si="7"/>
        <v>-5.0952180026797578E-3</v>
      </c>
      <c r="O87">
        <f t="shared" ca="1" si="9"/>
        <v>-1.0480587724916494E-2</v>
      </c>
      <c r="Q87" s="1">
        <f t="shared" si="8"/>
        <v>39679.041299999997</v>
      </c>
    </row>
    <row r="88" spans="1:21" x14ac:dyDescent="0.2">
      <c r="A88" s="32" t="s">
        <v>57</v>
      </c>
      <c r="B88" s="33" t="s">
        <v>39</v>
      </c>
      <c r="C88" s="32">
        <v>55644.605000000003</v>
      </c>
      <c r="D88" s="32">
        <v>2.9999999999999997E-4</v>
      </c>
      <c r="E88">
        <f t="shared" si="6"/>
        <v>8997.4719541189043</v>
      </c>
      <c r="F88">
        <f t="shared" si="10"/>
        <v>8997.5</v>
      </c>
      <c r="G88" s="15">
        <f t="shared" si="7"/>
        <v>-1.872514500428224E-2</v>
      </c>
      <c r="J88">
        <f>+G88</f>
        <v>-1.872514500428224E-2</v>
      </c>
      <c r="O88">
        <f t="shared" ca="1" si="9"/>
        <v>-1.77377239106562E-2</v>
      </c>
      <c r="Q88" s="1">
        <f t="shared" si="8"/>
        <v>40626.105000000003</v>
      </c>
    </row>
    <row r="89" spans="1:21" x14ac:dyDescent="0.2">
      <c r="A89" s="48" t="s">
        <v>303</v>
      </c>
      <c r="B89" s="54" t="s">
        <v>37</v>
      </c>
      <c r="C89" s="48">
        <v>55799.5023</v>
      </c>
      <c r="D89" s="48" t="s">
        <v>51</v>
      </c>
      <c r="E89">
        <f t="shared" si="6"/>
        <v>9229.4718268926845</v>
      </c>
      <c r="F89">
        <f t="shared" si="10"/>
        <v>9229.5</v>
      </c>
      <c r="G89" s="15">
        <f t="shared" si="7"/>
        <v>-1.8810089000908192E-2</v>
      </c>
      <c r="I89">
        <f>+G88</f>
        <v>-1.872514500428224E-2</v>
      </c>
      <c r="O89">
        <f t="shared" ca="1" si="9"/>
        <v>-1.8924650660808902E-2</v>
      </c>
      <c r="Q89" s="1">
        <f t="shared" si="8"/>
        <v>40781.0023</v>
      </c>
    </row>
    <row r="90" spans="1:21" x14ac:dyDescent="0.2">
      <c r="A90" s="69" t="s">
        <v>0</v>
      </c>
      <c r="B90" s="70" t="s">
        <v>37</v>
      </c>
      <c r="C90" s="71">
        <v>57574.465400000001</v>
      </c>
      <c r="D90" s="71">
        <v>1.6999999999999999E-3</v>
      </c>
      <c r="E90">
        <f>+(C90-C$7)/C$8</f>
        <v>11887.950789264289</v>
      </c>
      <c r="F90">
        <f t="shared" si="10"/>
        <v>11888</v>
      </c>
      <c r="G90" s="15">
        <f>C90-($C$7+$C$8*$F90)</f>
        <v>-3.2856096004252322E-2</v>
      </c>
      <c r="K90">
        <f>+G89</f>
        <v>-1.8810089000908192E-2</v>
      </c>
      <c r="O90">
        <f ca="1">+C$11+C$12*$F90</f>
        <v>-3.252570568357168E-2</v>
      </c>
      <c r="Q90" s="1">
        <f>+C90-15018.5</f>
        <v>42555.965400000001</v>
      </c>
    </row>
    <row r="91" spans="1:21" x14ac:dyDescent="0.2">
      <c r="A91" s="72" t="s">
        <v>305</v>
      </c>
      <c r="B91" s="73" t="s">
        <v>39</v>
      </c>
      <c r="C91" s="74">
        <v>57665.312169999997</v>
      </c>
      <c r="D91" s="74">
        <v>1.2999999999999999E-3</v>
      </c>
      <c r="E91">
        <f>+(C91-C$7)/C$8</f>
        <v>12024.017971080297</v>
      </c>
      <c r="F91">
        <f t="shared" si="10"/>
        <v>12024</v>
      </c>
      <c r="O91">
        <f ca="1">+C$11+C$12*$F91</f>
        <v>-3.3221490330212926E-2</v>
      </c>
      <c r="Q91" s="1">
        <f>+C91-15018.5</f>
        <v>42646.812169999997</v>
      </c>
      <c r="U91" s="15">
        <f>C91-($C$7+$C$8*$F91)</f>
        <v>1.1998591995507013E-2</v>
      </c>
    </row>
    <row r="92" spans="1:21" x14ac:dyDescent="0.2">
      <c r="A92" s="75" t="s">
        <v>306</v>
      </c>
      <c r="B92" s="76" t="s">
        <v>39</v>
      </c>
      <c r="C92" s="77">
        <v>58091.278609999921</v>
      </c>
      <c r="D92" s="77">
        <v>6.9999999999999999E-4</v>
      </c>
      <c r="E92">
        <f>+(C92-C$7)/C$8</f>
        <v>12662.015921243948</v>
      </c>
      <c r="F92">
        <f t="shared" si="10"/>
        <v>12662</v>
      </c>
      <c r="O92">
        <f ca="1">+C$11+C$12*$F92</f>
        <v>-3.6485538893132857E-2</v>
      </c>
      <c r="Q92" s="1">
        <f>+C92-15018.5</f>
        <v>43072.778609999921</v>
      </c>
      <c r="U92" s="15">
        <f>C92-($C$7+$C$8*$F92)</f>
        <v>1.0629995915223844E-2</v>
      </c>
    </row>
    <row r="93" spans="1:21" x14ac:dyDescent="0.2">
      <c r="B93" s="2"/>
      <c r="C93" s="15"/>
      <c r="D93" s="15"/>
    </row>
    <row r="94" spans="1:21" x14ac:dyDescent="0.2">
      <c r="B94" s="2"/>
      <c r="C94" s="15"/>
      <c r="D94" s="15"/>
    </row>
    <row r="95" spans="1:21" x14ac:dyDescent="0.2">
      <c r="B95" s="2"/>
      <c r="C95" s="15"/>
      <c r="D95" s="15"/>
    </row>
    <row r="96" spans="1:21" x14ac:dyDescent="0.2">
      <c r="B96" s="2"/>
      <c r="C96" s="15"/>
      <c r="D96" s="15"/>
    </row>
    <row r="97" spans="2:4" x14ac:dyDescent="0.2">
      <c r="B97" s="2"/>
      <c r="C97" s="15"/>
      <c r="D97" s="15"/>
    </row>
    <row r="98" spans="2:4" x14ac:dyDescent="0.2">
      <c r="B98" s="2"/>
      <c r="C98" s="15"/>
      <c r="D98" s="15"/>
    </row>
    <row r="99" spans="2:4" x14ac:dyDescent="0.2">
      <c r="B99" s="2"/>
      <c r="C99" s="15"/>
      <c r="D99" s="15"/>
    </row>
    <row r="100" spans="2:4" x14ac:dyDescent="0.2">
      <c r="B100" s="2"/>
      <c r="C100" s="15"/>
      <c r="D100" s="15"/>
    </row>
    <row r="101" spans="2:4" x14ac:dyDescent="0.2">
      <c r="B101" s="2"/>
      <c r="C101" s="15"/>
      <c r="D101" s="15"/>
    </row>
    <row r="102" spans="2:4" x14ac:dyDescent="0.2">
      <c r="B102" s="2"/>
      <c r="C102" s="15"/>
      <c r="D102" s="15"/>
    </row>
    <row r="103" spans="2:4" x14ac:dyDescent="0.2">
      <c r="B103" s="2"/>
      <c r="C103" s="15"/>
      <c r="D103" s="15"/>
    </row>
    <row r="104" spans="2:4" x14ac:dyDescent="0.2">
      <c r="B104" s="2"/>
      <c r="C104" s="15"/>
      <c r="D104" s="15"/>
    </row>
    <row r="105" spans="2:4" x14ac:dyDescent="0.2">
      <c r="B105" s="2"/>
      <c r="C105" s="15"/>
      <c r="D105" s="15"/>
    </row>
    <row r="106" spans="2:4" x14ac:dyDescent="0.2">
      <c r="B106" s="2"/>
      <c r="C106" s="15"/>
      <c r="D106" s="15"/>
    </row>
    <row r="107" spans="2:4" x14ac:dyDescent="0.2">
      <c r="B107" s="2"/>
      <c r="C107" s="15"/>
      <c r="D107" s="15"/>
    </row>
    <row r="108" spans="2:4" x14ac:dyDescent="0.2">
      <c r="B108" s="2"/>
      <c r="C108" s="15"/>
      <c r="D108" s="15"/>
    </row>
    <row r="109" spans="2:4" x14ac:dyDescent="0.2">
      <c r="C109" s="15"/>
      <c r="D109" s="15"/>
    </row>
    <row r="110" spans="2:4" x14ac:dyDescent="0.2">
      <c r="C110" s="15"/>
      <c r="D110" s="15"/>
    </row>
    <row r="111" spans="2:4" x14ac:dyDescent="0.2">
      <c r="C111" s="15"/>
      <c r="D111" s="15"/>
    </row>
    <row r="112" spans="2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</sheetData>
  <protectedRanges>
    <protectedRange sqref="A92:D92" name="Range1"/>
  </protectedRanges>
  <phoneticPr fontId="8" type="noConversion"/>
  <hyperlinks>
    <hyperlink ref="H107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9"/>
  <sheetViews>
    <sheetView topLeftCell="A30" workbookViewId="0">
      <selection activeCell="A30" sqref="A30:D77"/>
    </sheetView>
  </sheetViews>
  <sheetFormatPr defaultRowHeight="12.75" x14ac:dyDescent="0.2"/>
  <cols>
    <col min="1" max="1" width="19.7109375" style="15" customWidth="1"/>
    <col min="2" max="2" width="4.42578125" style="9" customWidth="1"/>
    <col min="3" max="3" width="12.7109375" style="15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5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4" t="s">
        <v>58</v>
      </c>
      <c r="I1" s="35" t="s">
        <v>59</v>
      </c>
      <c r="J1" s="36" t="s">
        <v>53</v>
      </c>
    </row>
    <row r="2" spans="1:16" x14ac:dyDescent="0.2">
      <c r="I2" s="37" t="s">
        <v>60</v>
      </c>
      <c r="J2" s="38" t="s">
        <v>61</v>
      </c>
    </row>
    <row r="3" spans="1:16" x14ac:dyDescent="0.2">
      <c r="A3" s="39" t="s">
        <v>62</v>
      </c>
      <c r="I3" s="37" t="s">
        <v>63</v>
      </c>
      <c r="J3" s="38" t="s">
        <v>64</v>
      </c>
    </row>
    <row r="4" spans="1:16" x14ac:dyDescent="0.2">
      <c r="I4" s="37" t="s">
        <v>65</v>
      </c>
      <c r="J4" s="38" t="s">
        <v>64</v>
      </c>
    </row>
    <row r="5" spans="1:16" ht="13.5" thickBot="1" x14ac:dyDescent="0.25">
      <c r="I5" s="40" t="s">
        <v>66</v>
      </c>
      <c r="J5" s="41" t="s">
        <v>51</v>
      </c>
    </row>
    <row r="10" spans="1:16" ht="13.5" thickBot="1" x14ac:dyDescent="0.25"/>
    <row r="11" spans="1:16" ht="12.75" customHeight="1" thickBot="1" x14ac:dyDescent="0.25">
      <c r="A11" s="15" t="str">
        <f t="shared" ref="A11:A42" si="0">P11</f>
        <v>BAVM 80 </v>
      </c>
      <c r="B11" s="2" t="str">
        <f t="shared" ref="B11:B42" si="1">IF(H11=INT(H11),"I","II")</f>
        <v>II</v>
      </c>
      <c r="C11" s="15">
        <f t="shared" ref="C11:C42" si="2">1*G11</f>
        <v>49637.342600000004</v>
      </c>
      <c r="D11" s="9" t="str">
        <f t="shared" ref="D11:D42" si="3">VLOOKUP(F11,I$1:J$5,2,FALSE)</f>
        <v>vis</v>
      </c>
      <c r="E11" s="42">
        <f>VLOOKUP(C11,Active!C$21:E$969,3,FALSE)</f>
        <v>0</v>
      </c>
      <c r="F11" s="2" t="s">
        <v>66</v>
      </c>
      <c r="G11" s="9" t="str">
        <f t="shared" ref="G11:G42" si="4">MID(I11,3,LEN(I11)-3)</f>
        <v>49637.3426</v>
      </c>
      <c r="H11" s="15">
        <f t="shared" ref="H11:H42" si="5">1*K11</f>
        <v>32258.5</v>
      </c>
      <c r="I11" s="43" t="s">
        <v>199</v>
      </c>
      <c r="J11" s="44" t="s">
        <v>200</v>
      </c>
      <c r="K11" s="43">
        <v>32258.5</v>
      </c>
      <c r="L11" s="43" t="s">
        <v>201</v>
      </c>
      <c r="M11" s="44" t="s">
        <v>192</v>
      </c>
      <c r="N11" s="44" t="s">
        <v>193</v>
      </c>
      <c r="O11" s="45" t="s">
        <v>194</v>
      </c>
      <c r="P11" s="46" t="s">
        <v>202</v>
      </c>
    </row>
    <row r="12" spans="1:16" ht="12.75" customHeight="1" thickBot="1" x14ac:dyDescent="0.25">
      <c r="A12" s="15" t="str">
        <f t="shared" si="0"/>
        <v>BAVM 80 </v>
      </c>
      <c r="B12" s="2" t="str">
        <f t="shared" si="1"/>
        <v>I</v>
      </c>
      <c r="C12" s="15">
        <f t="shared" si="2"/>
        <v>49640.348400000003</v>
      </c>
      <c r="D12" s="9" t="str">
        <f t="shared" si="3"/>
        <v>vis</v>
      </c>
      <c r="E12" s="42">
        <f>VLOOKUP(C12,Active!C$21:E$969,3,FALSE)</f>
        <v>4.5019843314454846</v>
      </c>
      <c r="F12" s="2" t="s">
        <v>66</v>
      </c>
      <c r="G12" s="9" t="str">
        <f t="shared" si="4"/>
        <v>49640.3484</v>
      </c>
      <c r="H12" s="15">
        <f t="shared" si="5"/>
        <v>32263</v>
      </c>
      <c r="I12" s="43" t="s">
        <v>203</v>
      </c>
      <c r="J12" s="44" t="s">
        <v>204</v>
      </c>
      <c r="K12" s="43">
        <v>32263</v>
      </c>
      <c r="L12" s="43" t="s">
        <v>205</v>
      </c>
      <c r="M12" s="44" t="s">
        <v>192</v>
      </c>
      <c r="N12" s="44" t="s">
        <v>193</v>
      </c>
      <c r="O12" s="45" t="s">
        <v>194</v>
      </c>
      <c r="P12" s="46" t="s">
        <v>202</v>
      </c>
    </row>
    <row r="13" spans="1:16" ht="12.75" customHeight="1" thickBot="1" x14ac:dyDescent="0.25">
      <c r="A13" s="15" t="str">
        <f t="shared" si="0"/>
        <v> BBS 113 </v>
      </c>
      <c r="B13" s="2" t="str">
        <f t="shared" si="1"/>
        <v>II</v>
      </c>
      <c r="C13" s="15">
        <f t="shared" si="2"/>
        <v>50320.364000000001</v>
      </c>
      <c r="D13" s="9" t="str">
        <f t="shared" si="3"/>
        <v>vis</v>
      </c>
      <c r="E13" s="42">
        <f>VLOOKUP(C13,Active!C$21:E$969,3,FALSE)</f>
        <v>1023.006068548464</v>
      </c>
      <c r="F13" s="2" t="s">
        <v>66</v>
      </c>
      <c r="G13" s="9" t="str">
        <f t="shared" si="4"/>
        <v>50320.364</v>
      </c>
      <c r="H13" s="15">
        <f t="shared" si="5"/>
        <v>33281.5</v>
      </c>
      <c r="I13" s="43" t="s">
        <v>206</v>
      </c>
      <c r="J13" s="44" t="s">
        <v>207</v>
      </c>
      <c r="K13" s="43">
        <v>33281.5</v>
      </c>
      <c r="L13" s="43" t="s">
        <v>208</v>
      </c>
      <c r="M13" s="44" t="s">
        <v>192</v>
      </c>
      <c r="N13" s="44" t="s">
        <v>209</v>
      </c>
      <c r="O13" s="45" t="s">
        <v>210</v>
      </c>
      <c r="P13" s="45" t="s">
        <v>211</v>
      </c>
    </row>
    <row r="14" spans="1:16" ht="12.75" customHeight="1" thickBot="1" x14ac:dyDescent="0.25">
      <c r="A14" s="15" t="str">
        <f t="shared" si="0"/>
        <v>BAVM 117 </v>
      </c>
      <c r="B14" s="2" t="str">
        <f t="shared" si="1"/>
        <v>I</v>
      </c>
      <c r="C14" s="15">
        <f t="shared" si="2"/>
        <v>51034.424200000001</v>
      </c>
      <c r="D14" s="9" t="str">
        <f t="shared" si="3"/>
        <v>vis</v>
      </c>
      <c r="E14" s="42">
        <f>VLOOKUP(C14,Active!C$21:E$969,3,FALSE)</f>
        <v>2092.5009890720848</v>
      </c>
      <c r="F14" s="2" t="s">
        <v>66</v>
      </c>
      <c r="G14" s="9" t="str">
        <f t="shared" si="4"/>
        <v>51034.4242</v>
      </c>
      <c r="H14" s="15">
        <f t="shared" si="5"/>
        <v>34351</v>
      </c>
      <c r="I14" s="43" t="s">
        <v>212</v>
      </c>
      <c r="J14" s="44" t="s">
        <v>213</v>
      </c>
      <c r="K14" s="43">
        <v>34351</v>
      </c>
      <c r="L14" s="43" t="s">
        <v>214</v>
      </c>
      <c r="M14" s="44" t="s">
        <v>192</v>
      </c>
      <c r="N14" s="44" t="s">
        <v>193</v>
      </c>
      <c r="O14" s="45" t="s">
        <v>194</v>
      </c>
      <c r="P14" s="46" t="s">
        <v>215</v>
      </c>
    </row>
    <row r="15" spans="1:16" ht="12.75" customHeight="1" thickBot="1" x14ac:dyDescent="0.25">
      <c r="A15" s="15" t="str">
        <f t="shared" si="0"/>
        <v>IBVS 5287 </v>
      </c>
      <c r="B15" s="2" t="str">
        <f t="shared" si="1"/>
        <v>I</v>
      </c>
      <c r="C15" s="15">
        <f t="shared" si="2"/>
        <v>51697.410400000001</v>
      </c>
      <c r="D15" s="9" t="str">
        <f t="shared" si="3"/>
        <v>vis</v>
      </c>
      <c r="E15" s="42">
        <f>VLOOKUP(C15,Active!C$21:E$969,3,FALSE)</f>
        <v>3085.4990209988841</v>
      </c>
      <c r="F15" s="2" t="s">
        <v>66</v>
      </c>
      <c r="G15" s="9" t="str">
        <f t="shared" si="4"/>
        <v>51697.4104</v>
      </c>
      <c r="H15" s="15">
        <f t="shared" si="5"/>
        <v>35344</v>
      </c>
      <c r="I15" s="43" t="s">
        <v>216</v>
      </c>
      <c r="J15" s="44" t="s">
        <v>217</v>
      </c>
      <c r="K15" s="43">
        <v>35344</v>
      </c>
      <c r="L15" s="43" t="s">
        <v>218</v>
      </c>
      <c r="M15" s="44" t="s">
        <v>192</v>
      </c>
      <c r="N15" s="44" t="s">
        <v>209</v>
      </c>
      <c r="O15" s="45" t="s">
        <v>219</v>
      </c>
      <c r="P15" s="46" t="s">
        <v>220</v>
      </c>
    </row>
    <row r="16" spans="1:16" ht="12.75" customHeight="1" thickBot="1" x14ac:dyDescent="0.25">
      <c r="A16" s="15" t="str">
        <f t="shared" si="0"/>
        <v>OEJV 0074 </v>
      </c>
      <c r="B16" s="2" t="str">
        <f t="shared" si="1"/>
        <v>I</v>
      </c>
      <c r="C16" s="15">
        <f t="shared" si="2"/>
        <v>51699.413999999997</v>
      </c>
      <c r="D16" s="9" t="str">
        <f t="shared" si="3"/>
        <v>vis</v>
      </c>
      <c r="E16" s="42">
        <f>VLOOKUP(C16,Active!C$21:E$969,3,FALSE)</f>
        <v>3088.4999444823065</v>
      </c>
      <c r="F16" s="2" t="s">
        <v>66</v>
      </c>
      <c r="G16" s="9" t="str">
        <f t="shared" si="4"/>
        <v>51699.41400</v>
      </c>
      <c r="H16" s="15">
        <f t="shared" si="5"/>
        <v>35347</v>
      </c>
      <c r="I16" s="43" t="s">
        <v>221</v>
      </c>
      <c r="J16" s="44" t="s">
        <v>222</v>
      </c>
      <c r="K16" s="43">
        <v>35347</v>
      </c>
      <c r="L16" s="43" t="s">
        <v>223</v>
      </c>
      <c r="M16" s="44" t="s">
        <v>224</v>
      </c>
      <c r="N16" s="44" t="s">
        <v>193</v>
      </c>
      <c r="O16" s="45" t="s">
        <v>225</v>
      </c>
      <c r="P16" s="46" t="s">
        <v>226</v>
      </c>
    </row>
    <row r="17" spans="1:16" ht="12.75" customHeight="1" thickBot="1" x14ac:dyDescent="0.25">
      <c r="A17" s="15" t="str">
        <f t="shared" si="0"/>
        <v>OEJV 0074 </v>
      </c>
      <c r="B17" s="2" t="str">
        <f t="shared" si="1"/>
        <v>I</v>
      </c>
      <c r="C17" s="15">
        <f t="shared" si="2"/>
        <v>51707.424950000001</v>
      </c>
      <c r="D17" s="9" t="str">
        <f t="shared" si="3"/>
        <v>vis</v>
      </c>
      <c r="E17" s="42">
        <f>VLOOKUP(C17,Active!C$21:E$969,3,FALSE)</f>
        <v>3100.4984711241391</v>
      </c>
      <c r="F17" s="2" t="s">
        <v>66</v>
      </c>
      <c r="G17" s="9" t="str">
        <f t="shared" si="4"/>
        <v>51707.42495</v>
      </c>
      <c r="H17" s="15">
        <f t="shared" si="5"/>
        <v>35359</v>
      </c>
      <c r="I17" s="43" t="s">
        <v>232</v>
      </c>
      <c r="J17" s="44" t="s">
        <v>233</v>
      </c>
      <c r="K17" s="43">
        <v>35359</v>
      </c>
      <c r="L17" s="43" t="s">
        <v>234</v>
      </c>
      <c r="M17" s="44" t="s">
        <v>224</v>
      </c>
      <c r="N17" s="44" t="s">
        <v>193</v>
      </c>
      <c r="O17" s="45" t="s">
        <v>225</v>
      </c>
      <c r="P17" s="46" t="s">
        <v>226</v>
      </c>
    </row>
    <row r="18" spans="1:16" ht="12.75" customHeight="1" thickBot="1" x14ac:dyDescent="0.25">
      <c r="A18" s="15" t="str">
        <f t="shared" si="0"/>
        <v>OEJV 0074 </v>
      </c>
      <c r="B18" s="2" t="str">
        <f t="shared" si="1"/>
        <v>I</v>
      </c>
      <c r="C18" s="15">
        <f t="shared" si="2"/>
        <v>51731.462599999999</v>
      </c>
      <c r="D18" s="9" t="str">
        <f t="shared" si="3"/>
        <v>vis</v>
      </c>
      <c r="E18" s="42">
        <f>VLOOKUP(C18,Active!C$21:E$969,3,FALSE)</f>
        <v>3136.5012403252836</v>
      </c>
      <c r="F18" s="2" t="s">
        <v>66</v>
      </c>
      <c r="G18" s="9" t="str">
        <f t="shared" si="4"/>
        <v>51731.46260</v>
      </c>
      <c r="H18" s="15">
        <f t="shared" si="5"/>
        <v>35395</v>
      </c>
      <c r="I18" s="43" t="s">
        <v>235</v>
      </c>
      <c r="J18" s="44" t="s">
        <v>236</v>
      </c>
      <c r="K18" s="43">
        <v>35395</v>
      </c>
      <c r="L18" s="43" t="s">
        <v>237</v>
      </c>
      <c r="M18" s="44" t="s">
        <v>224</v>
      </c>
      <c r="N18" s="44" t="s">
        <v>66</v>
      </c>
      <c r="O18" s="45" t="s">
        <v>238</v>
      </c>
      <c r="P18" s="46" t="s">
        <v>226</v>
      </c>
    </row>
    <row r="19" spans="1:16" ht="12.75" customHeight="1" thickBot="1" x14ac:dyDescent="0.25">
      <c r="A19" s="15" t="str">
        <f t="shared" si="0"/>
        <v>OEJV 0074 </v>
      </c>
      <c r="B19" s="2" t="str">
        <f t="shared" si="1"/>
        <v>II</v>
      </c>
      <c r="C19" s="15">
        <f t="shared" si="2"/>
        <v>52427.495600000002</v>
      </c>
      <c r="D19" s="9" t="str">
        <f t="shared" si="3"/>
        <v>vis</v>
      </c>
      <c r="E19" s="42">
        <f>VLOOKUP(C19,Active!C$21:E$969,3,FALSE)</f>
        <v>4178.9956378800289</v>
      </c>
      <c r="F19" s="2" t="s">
        <v>66</v>
      </c>
      <c r="G19" s="9" t="str">
        <f t="shared" si="4"/>
        <v>52427.49560</v>
      </c>
      <c r="H19" s="15">
        <f t="shared" si="5"/>
        <v>36437.5</v>
      </c>
      <c r="I19" s="43" t="s">
        <v>239</v>
      </c>
      <c r="J19" s="44" t="s">
        <v>240</v>
      </c>
      <c r="K19" s="43">
        <v>36437.5</v>
      </c>
      <c r="L19" s="43" t="s">
        <v>241</v>
      </c>
      <c r="M19" s="44" t="s">
        <v>224</v>
      </c>
      <c r="N19" s="44" t="s">
        <v>193</v>
      </c>
      <c r="O19" s="45" t="s">
        <v>242</v>
      </c>
      <c r="P19" s="46" t="s">
        <v>226</v>
      </c>
    </row>
    <row r="20" spans="1:16" ht="12.75" customHeight="1" thickBot="1" x14ac:dyDescent="0.25">
      <c r="A20" s="15" t="str">
        <f t="shared" si="0"/>
        <v>IBVS 5378 </v>
      </c>
      <c r="B20" s="2" t="str">
        <f t="shared" si="1"/>
        <v>II</v>
      </c>
      <c r="C20" s="15">
        <f t="shared" si="2"/>
        <v>52549.686000000002</v>
      </c>
      <c r="D20" s="9" t="str">
        <f t="shared" si="3"/>
        <v>vis</v>
      </c>
      <c r="E20" s="42">
        <f>VLOOKUP(C20,Active!C$21:E$969,3,FALSE)</f>
        <v>4362.0082356088315</v>
      </c>
      <c r="F20" s="2" t="s">
        <v>66</v>
      </c>
      <c r="G20" s="9" t="str">
        <f t="shared" si="4"/>
        <v>52549.686</v>
      </c>
      <c r="H20" s="15">
        <f t="shared" si="5"/>
        <v>36620.5</v>
      </c>
      <c r="I20" s="43" t="s">
        <v>243</v>
      </c>
      <c r="J20" s="44" t="s">
        <v>244</v>
      </c>
      <c r="K20" s="43">
        <v>36620.5</v>
      </c>
      <c r="L20" s="43" t="s">
        <v>245</v>
      </c>
      <c r="M20" s="44" t="s">
        <v>192</v>
      </c>
      <c r="N20" s="44" t="s">
        <v>209</v>
      </c>
      <c r="O20" s="45" t="s">
        <v>246</v>
      </c>
      <c r="P20" s="46" t="s">
        <v>247</v>
      </c>
    </row>
    <row r="21" spans="1:16" ht="12.75" customHeight="1" thickBot="1" x14ac:dyDescent="0.25">
      <c r="A21" s="15" t="str">
        <f t="shared" si="0"/>
        <v>BAVM 158 </v>
      </c>
      <c r="B21" s="2" t="str">
        <f t="shared" si="1"/>
        <v>I</v>
      </c>
      <c r="C21" s="15">
        <f t="shared" si="2"/>
        <v>52557.358899999999</v>
      </c>
      <c r="D21" s="9" t="str">
        <f t="shared" si="3"/>
        <v>vis</v>
      </c>
      <c r="E21" s="42">
        <f>VLOOKUP(C21,Active!C$21:E$969,3,FALSE)</f>
        <v>4373.5004425343586</v>
      </c>
      <c r="F21" s="2" t="s">
        <v>66</v>
      </c>
      <c r="G21" s="9" t="str">
        <f t="shared" si="4"/>
        <v>52557.3589</v>
      </c>
      <c r="H21" s="15">
        <f t="shared" si="5"/>
        <v>36632</v>
      </c>
      <c r="I21" s="43" t="s">
        <v>248</v>
      </c>
      <c r="J21" s="44" t="s">
        <v>249</v>
      </c>
      <c r="K21" s="43">
        <v>36632</v>
      </c>
      <c r="L21" s="43" t="s">
        <v>250</v>
      </c>
      <c r="M21" s="44" t="s">
        <v>192</v>
      </c>
      <c r="N21" s="44" t="s">
        <v>193</v>
      </c>
      <c r="O21" s="45" t="s">
        <v>194</v>
      </c>
      <c r="P21" s="46" t="s">
        <v>251</v>
      </c>
    </row>
    <row r="22" spans="1:16" ht="12.75" customHeight="1" thickBot="1" x14ac:dyDescent="0.25">
      <c r="A22" s="15" t="str">
        <f t="shared" si="0"/>
        <v>BAVM 172 </v>
      </c>
      <c r="B22" s="2" t="str">
        <f t="shared" si="1"/>
        <v>II</v>
      </c>
      <c r="C22" s="15">
        <f t="shared" si="2"/>
        <v>52829.428999999996</v>
      </c>
      <c r="D22" s="9" t="str">
        <f t="shared" si="3"/>
        <v>vis</v>
      </c>
      <c r="E22" s="42">
        <f>VLOOKUP(C22,Active!C$21:E$969,3,FALSE)</f>
        <v>4780.9977235428096</v>
      </c>
      <c r="F22" s="2" t="s">
        <v>66</v>
      </c>
      <c r="G22" s="9" t="str">
        <f t="shared" si="4"/>
        <v>52829.4290</v>
      </c>
      <c r="H22" s="15">
        <f t="shared" si="5"/>
        <v>37039.5</v>
      </c>
      <c r="I22" s="43" t="s">
        <v>252</v>
      </c>
      <c r="J22" s="44" t="s">
        <v>253</v>
      </c>
      <c r="K22" s="43">
        <v>37039.5</v>
      </c>
      <c r="L22" s="43" t="s">
        <v>254</v>
      </c>
      <c r="M22" s="44" t="s">
        <v>192</v>
      </c>
      <c r="N22" s="44" t="s">
        <v>193</v>
      </c>
      <c r="O22" s="45" t="s">
        <v>194</v>
      </c>
      <c r="P22" s="46" t="s">
        <v>255</v>
      </c>
    </row>
    <row r="23" spans="1:16" ht="12.75" customHeight="1" thickBot="1" x14ac:dyDescent="0.25">
      <c r="A23" s="15" t="str">
        <f t="shared" si="0"/>
        <v>OEJV 0074 </v>
      </c>
      <c r="B23" s="2" t="str">
        <f t="shared" si="1"/>
        <v>II</v>
      </c>
      <c r="C23" s="15">
        <f t="shared" si="2"/>
        <v>53936.402670000003</v>
      </c>
      <c r="D23" s="9" t="str">
        <f t="shared" si="3"/>
        <v>vis</v>
      </c>
      <c r="E23" s="42">
        <f>VLOOKUP(C23,Active!C$21:E$969,3,FALSE)</f>
        <v>6438.9849873875082</v>
      </c>
      <c r="F23" s="2" t="s">
        <v>66</v>
      </c>
      <c r="G23" s="9" t="str">
        <f t="shared" si="4"/>
        <v>53936.40267</v>
      </c>
      <c r="H23" s="15">
        <f t="shared" si="5"/>
        <v>38697.5</v>
      </c>
      <c r="I23" s="43" t="s">
        <v>256</v>
      </c>
      <c r="J23" s="44" t="s">
        <v>257</v>
      </c>
      <c r="K23" s="43">
        <v>38697.5</v>
      </c>
      <c r="L23" s="43" t="s">
        <v>258</v>
      </c>
      <c r="M23" s="44" t="s">
        <v>224</v>
      </c>
      <c r="N23" s="44" t="s">
        <v>259</v>
      </c>
      <c r="O23" s="45" t="s">
        <v>260</v>
      </c>
      <c r="P23" s="46" t="s">
        <v>226</v>
      </c>
    </row>
    <row r="24" spans="1:16" ht="12.75" customHeight="1" thickBot="1" x14ac:dyDescent="0.25">
      <c r="A24" s="15" t="str">
        <f t="shared" si="0"/>
        <v>BAVM 186 </v>
      </c>
      <c r="B24" s="2" t="str">
        <f t="shared" si="1"/>
        <v>I</v>
      </c>
      <c r="C24" s="15">
        <f t="shared" si="2"/>
        <v>53989.486199999999</v>
      </c>
      <c r="D24" s="9" t="str">
        <f t="shared" si="3"/>
        <v>vis</v>
      </c>
      <c r="E24" s="42">
        <f>VLOOKUP(C24,Active!C$21:E$969,3,FALSE)</f>
        <v>6518.4916812187275</v>
      </c>
      <c r="F24" s="2" t="s">
        <v>66</v>
      </c>
      <c r="G24" s="9" t="str">
        <f t="shared" si="4"/>
        <v>53989.4862</v>
      </c>
      <c r="H24" s="15">
        <f t="shared" si="5"/>
        <v>38777</v>
      </c>
      <c r="I24" s="43" t="s">
        <v>261</v>
      </c>
      <c r="J24" s="44" t="s">
        <v>262</v>
      </c>
      <c r="K24" s="43">
        <v>38777</v>
      </c>
      <c r="L24" s="43" t="s">
        <v>263</v>
      </c>
      <c r="M24" s="44" t="s">
        <v>224</v>
      </c>
      <c r="N24" s="44" t="s">
        <v>264</v>
      </c>
      <c r="O24" s="45" t="s">
        <v>265</v>
      </c>
      <c r="P24" s="46" t="s">
        <v>266</v>
      </c>
    </row>
    <row r="25" spans="1:16" ht="12.75" customHeight="1" thickBot="1" x14ac:dyDescent="0.25">
      <c r="A25" s="15" t="str">
        <f t="shared" si="0"/>
        <v>BAVM 186 </v>
      </c>
      <c r="B25" s="2" t="str">
        <f t="shared" si="1"/>
        <v>I</v>
      </c>
      <c r="C25" s="15">
        <f t="shared" si="2"/>
        <v>53991.490400000002</v>
      </c>
      <c r="D25" s="9" t="str">
        <f t="shared" si="3"/>
        <v>vis</v>
      </c>
      <c r="E25" s="42">
        <f>VLOOKUP(C25,Active!C$21:E$969,3,FALSE)</f>
        <v>6521.4935033616175</v>
      </c>
      <c r="F25" s="2" t="s">
        <v>66</v>
      </c>
      <c r="G25" s="9" t="str">
        <f t="shared" si="4"/>
        <v>53991.4904</v>
      </c>
      <c r="H25" s="15">
        <f t="shared" si="5"/>
        <v>38780</v>
      </c>
      <c r="I25" s="43" t="s">
        <v>267</v>
      </c>
      <c r="J25" s="44" t="s">
        <v>268</v>
      </c>
      <c r="K25" s="43" t="s">
        <v>269</v>
      </c>
      <c r="L25" s="43" t="s">
        <v>270</v>
      </c>
      <c r="M25" s="44" t="s">
        <v>224</v>
      </c>
      <c r="N25" s="44" t="s">
        <v>264</v>
      </c>
      <c r="O25" s="45" t="s">
        <v>265</v>
      </c>
      <c r="P25" s="46" t="s">
        <v>266</v>
      </c>
    </row>
    <row r="26" spans="1:16" ht="12.75" customHeight="1" thickBot="1" x14ac:dyDescent="0.25">
      <c r="A26" s="15" t="str">
        <f t="shared" si="0"/>
        <v>OEJV 0074 </v>
      </c>
      <c r="B26" s="2" t="str">
        <f t="shared" si="1"/>
        <v>II</v>
      </c>
      <c r="C26" s="15">
        <f t="shared" si="2"/>
        <v>54364.370690000003</v>
      </c>
      <c r="D26" s="9" t="str">
        <f t="shared" si="3"/>
        <v>vis</v>
      </c>
      <c r="E26" s="42">
        <f>VLOOKUP(C26,Active!C$21:E$969,3,FALSE)</f>
        <v>7079.9808355478617</v>
      </c>
      <c r="F26" s="2" t="s">
        <v>66</v>
      </c>
      <c r="G26" s="9" t="str">
        <f t="shared" si="4"/>
        <v>54364.37069</v>
      </c>
      <c r="H26" s="15">
        <f t="shared" si="5"/>
        <v>39338.5</v>
      </c>
      <c r="I26" s="43" t="s">
        <v>271</v>
      </c>
      <c r="J26" s="44" t="s">
        <v>272</v>
      </c>
      <c r="K26" s="43" t="s">
        <v>273</v>
      </c>
      <c r="L26" s="43" t="s">
        <v>274</v>
      </c>
      <c r="M26" s="44" t="s">
        <v>224</v>
      </c>
      <c r="N26" s="44" t="s">
        <v>37</v>
      </c>
      <c r="O26" s="45" t="s">
        <v>275</v>
      </c>
      <c r="P26" s="46" t="s">
        <v>226</v>
      </c>
    </row>
    <row r="27" spans="1:16" ht="12.75" customHeight="1" thickBot="1" x14ac:dyDescent="0.25">
      <c r="A27" s="15" t="str">
        <f t="shared" si="0"/>
        <v>OEJV 0074 </v>
      </c>
      <c r="B27" s="2" t="str">
        <f t="shared" si="1"/>
        <v>II</v>
      </c>
      <c r="C27" s="15">
        <f t="shared" si="2"/>
        <v>54364.374089999998</v>
      </c>
      <c r="D27" s="9" t="str">
        <f t="shared" si="3"/>
        <v>vis</v>
      </c>
      <c r="E27" s="42">
        <f>VLOOKUP(C27,Active!C$21:E$969,3,FALSE)</f>
        <v>7079.9859279514485</v>
      </c>
      <c r="F27" s="2" t="s">
        <v>66</v>
      </c>
      <c r="G27" s="9" t="str">
        <f t="shared" si="4"/>
        <v>54364.37409</v>
      </c>
      <c r="H27" s="15">
        <f t="shared" si="5"/>
        <v>39338.5</v>
      </c>
      <c r="I27" s="43" t="s">
        <v>276</v>
      </c>
      <c r="J27" s="44" t="s">
        <v>277</v>
      </c>
      <c r="K27" s="43" t="s">
        <v>273</v>
      </c>
      <c r="L27" s="43" t="s">
        <v>278</v>
      </c>
      <c r="M27" s="44" t="s">
        <v>224</v>
      </c>
      <c r="N27" s="44" t="s">
        <v>259</v>
      </c>
      <c r="O27" s="45" t="s">
        <v>275</v>
      </c>
      <c r="P27" s="46" t="s">
        <v>226</v>
      </c>
    </row>
    <row r="28" spans="1:16" ht="12.75" customHeight="1" thickBot="1" x14ac:dyDescent="0.25">
      <c r="A28" s="15" t="str">
        <f t="shared" si="0"/>
        <v>OEJV 0074 </v>
      </c>
      <c r="B28" s="2" t="str">
        <f t="shared" si="1"/>
        <v>II</v>
      </c>
      <c r="C28" s="15">
        <f t="shared" si="2"/>
        <v>54364.374389999997</v>
      </c>
      <c r="D28" s="9" t="str">
        <f t="shared" si="3"/>
        <v>vis</v>
      </c>
      <c r="E28" s="42">
        <f>VLOOKUP(C28,Active!C$21:E$969,3,FALSE)</f>
        <v>7079.9863772811768</v>
      </c>
      <c r="F28" s="2" t="s">
        <v>66</v>
      </c>
      <c r="G28" s="9" t="str">
        <f t="shared" si="4"/>
        <v>54364.37439</v>
      </c>
      <c r="H28" s="15">
        <f t="shared" si="5"/>
        <v>39338.5</v>
      </c>
      <c r="I28" s="43" t="s">
        <v>279</v>
      </c>
      <c r="J28" s="44" t="s">
        <v>280</v>
      </c>
      <c r="K28" s="43" t="s">
        <v>273</v>
      </c>
      <c r="L28" s="43" t="s">
        <v>281</v>
      </c>
      <c r="M28" s="44" t="s">
        <v>224</v>
      </c>
      <c r="N28" s="44" t="s">
        <v>66</v>
      </c>
      <c r="O28" s="45" t="s">
        <v>275</v>
      </c>
      <c r="P28" s="46" t="s">
        <v>226</v>
      </c>
    </row>
    <row r="29" spans="1:16" ht="12.75" customHeight="1" thickBot="1" x14ac:dyDescent="0.25">
      <c r="A29" s="15" t="str">
        <f t="shared" si="0"/>
        <v>BAVM 220 </v>
      </c>
      <c r="B29" s="2" t="str">
        <f t="shared" si="1"/>
        <v>I</v>
      </c>
      <c r="C29" s="15">
        <f t="shared" si="2"/>
        <v>55644.605000000003</v>
      </c>
      <c r="D29" s="9" t="str">
        <f t="shared" si="3"/>
        <v>vis</v>
      </c>
      <c r="E29" s="42">
        <f>VLOOKUP(C29,Active!C$21:E$969,3,FALSE)</f>
        <v>8997.4719541189043</v>
      </c>
      <c r="F29" s="2" t="s">
        <v>66</v>
      </c>
      <c r="G29" s="9" t="str">
        <f t="shared" si="4"/>
        <v>55644.6050</v>
      </c>
      <c r="H29" s="15">
        <f t="shared" si="5"/>
        <v>41256</v>
      </c>
      <c r="I29" s="43" t="s">
        <v>295</v>
      </c>
      <c r="J29" s="44" t="s">
        <v>296</v>
      </c>
      <c r="K29" s="43">
        <v>41256</v>
      </c>
      <c r="L29" s="43" t="s">
        <v>297</v>
      </c>
      <c r="M29" s="44" t="s">
        <v>224</v>
      </c>
      <c r="N29" s="44" t="s">
        <v>193</v>
      </c>
      <c r="O29" s="45" t="s">
        <v>298</v>
      </c>
      <c r="P29" s="46" t="s">
        <v>299</v>
      </c>
    </row>
    <row r="30" spans="1:16" ht="12.75" customHeight="1" thickBot="1" x14ac:dyDescent="0.25">
      <c r="A30" s="15" t="str">
        <f t="shared" si="0"/>
        <v> AAAN 11.5.47 </v>
      </c>
      <c r="B30" s="2" t="str">
        <f t="shared" si="1"/>
        <v>I</v>
      </c>
      <c r="C30" s="15">
        <f t="shared" si="2"/>
        <v>28097.444</v>
      </c>
      <c r="D30" s="9" t="str">
        <f t="shared" si="3"/>
        <v>vis</v>
      </c>
      <c r="E30" s="42">
        <f>VLOOKUP(C30,Active!C$21:E$969,3,FALSE)</f>
        <v>-32261.722668892424</v>
      </c>
      <c r="F30" s="2" t="s">
        <v>66</v>
      </c>
      <c r="G30" s="9" t="str">
        <f t="shared" si="4"/>
        <v>28097.444</v>
      </c>
      <c r="H30" s="15">
        <f t="shared" si="5"/>
        <v>-3</v>
      </c>
      <c r="I30" s="43" t="s">
        <v>67</v>
      </c>
      <c r="J30" s="44" t="s">
        <v>68</v>
      </c>
      <c r="K30" s="43">
        <v>-3</v>
      </c>
      <c r="L30" s="43" t="s">
        <v>69</v>
      </c>
      <c r="M30" s="44" t="s">
        <v>70</v>
      </c>
      <c r="N30" s="44"/>
      <c r="O30" s="45" t="s">
        <v>71</v>
      </c>
      <c r="P30" s="45" t="s">
        <v>72</v>
      </c>
    </row>
    <row r="31" spans="1:16" ht="12.75" customHeight="1" thickBot="1" x14ac:dyDescent="0.25">
      <c r="A31" s="15" t="str">
        <f t="shared" si="0"/>
        <v> AAAN 11.5.47 </v>
      </c>
      <c r="B31" s="2" t="str">
        <f t="shared" si="1"/>
        <v>I</v>
      </c>
      <c r="C31" s="15">
        <f t="shared" si="2"/>
        <v>28099.440999999999</v>
      </c>
      <c r="D31" s="9" t="str">
        <f t="shared" si="3"/>
        <v>vis</v>
      </c>
      <c r="E31" s="42">
        <f>VLOOKUP(C31,Active!C$21:E$969,3,FALSE)</f>
        <v>-32258.731630663035</v>
      </c>
      <c r="F31" s="2" t="s">
        <v>66</v>
      </c>
      <c r="G31" s="9" t="str">
        <f t="shared" si="4"/>
        <v>28099.441</v>
      </c>
      <c r="H31" s="15">
        <f t="shared" si="5"/>
        <v>0</v>
      </c>
      <c r="I31" s="43" t="s">
        <v>73</v>
      </c>
      <c r="J31" s="44" t="s">
        <v>74</v>
      </c>
      <c r="K31" s="43">
        <v>0</v>
      </c>
      <c r="L31" s="43" t="s">
        <v>75</v>
      </c>
      <c r="M31" s="44" t="s">
        <v>70</v>
      </c>
      <c r="N31" s="44"/>
      <c r="O31" s="45" t="s">
        <v>71</v>
      </c>
      <c r="P31" s="45" t="s">
        <v>72</v>
      </c>
    </row>
    <row r="32" spans="1:16" ht="12.75" customHeight="1" thickBot="1" x14ac:dyDescent="0.25">
      <c r="A32" s="15" t="str">
        <f t="shared" si="0"/>
        <v> AAAN 11.5.47 </v>
      </c>
      <c r="B32" s="2" t="str">
        <f t="shared" si="1"/>
        <v>I</v>
      </c>
      <c r="C32" s="15">
        <f t="shared" si="2"/>
        <v>28247.653999999999</v>
      </c>
      <c r="D32" s="9" t="str">
        <f t="shared" si="3"/>
        <v>vis</v>
      </c>
      <c r="E32" s="42">
        <f>VLOOKUP(C32,Active!C$21:E$969,3,FALSE)</f>
        <v>-32036.743273581142</v>
      </c>
      <c r="F32" s="2" t="s">
        <v>66</v>
      </c>
      <c r="G32" s="9" t="str">
        <f t="shared" si="4"/>
        <v>28247.654</v>
      </c>
      <c r="H32" s="15">
        <f t="shared" si="5"/>
        <v>222</v>
      </c>
      <c r="I32" s="43" t="s">
        <v>76</v>
      </c>
      <c r="J32" s="44" t="s">
        <v>77</v>
      </c>
      <c r="K32" s="43">
        <v>222</v>
      </c>
      <c r="L32" s="43" t="s">
        <v>78</v>
      </c>
      <c r="M32" s="44" t="s">
        <v>70</v>
      </c>
      <c r="N32" s="44"/>
      <c r="O32" s="45" t="s">
        <v>71</v>
      </c>
      <c r="P32" s="45" t="s">
        <v>72</v>
      </c>
    </row>
    <row r="33" spans="1:16" ht="12.75" customHeight="1" thickBot="1" x14ac:dyDescent="0.25">
      <c r="A33" s="15" t="str">
        <f t="shared" si="0"/>
        <v> AAAN 11.5.47 </v>
      </c>
      <c r="B33" s="2" t="str">
        <f t="shared" si="1"/>
        <v>I</v>
      </c>
      <c r="C33" s="15">
        <f t="shared" si="2"/>
        <v>28336.454000000002</v>
      </c>
      <c r="D33" s="9" t="str">
        <f t="shared" si="3"/>
        <v>vis</v>
      </c>
      <c r="E33" s="42">
        <f>VLOOKUP(C33,Active!C$21:E$969,3,FALSE)</f>
        <v>-31903.741673796558</v>
      </c>
      <c r="F33" s="2" t="s">
        <v>66</v>
      </c>
      <c r="G33" s="9" t="str">
        <f t="shared" si="4"/>
        <v>28336.454</v>
      </c>
      <c r="H33" s="15">
        <f t="shared" si="5"/>
        <v>355</v>
      </c>
      <c r="I33" s="43" t="s">
        <v>79</v>
      </c>
      <c r="J33" s="44" t="s">
        <v>80</v>
      </c>
      <c r="K33" s="43">
        <v>355</v>
      </c>
      <c r="L33" s="43" t="s">
        <v>81</v>
      </c>
      <c r="M33" s="44" t="s">
        <v>70</v>
      </c>
      <c r="N33" s="44"/>
      <c r="O33" s="45" t="s">
        <v>71</v>
      </c>
      <c r="P33" s="45" t="s">
        <v>72</v>
      </c>
    </row>
    <row r="34" spans="1:16" ht="12.75" customHeight="1" thickBot="1" x14ac:dyDescent="0.25">
      <c r="A34" s="15" t="str">
        <f t="shared" si="0"/>
        <v> AAAN 11.5.47 </v>
      </c>
      <c r="B34" s="2" t="str">
        <f t="shared" si="1"/>
        <v>I</v>
      </c>
      <c r="C34" s="15">
        <f t="shared" si="2"/>
        <v>28338.452000000001</v>
      </c>
      <c r="D34" s="9" t="str">
        <f t="shared" si="3"/>
        <v>vis</v>
      </c>
      <c r="E34" s="42">
        <f>VLOOKUP(C34,Active!C$21:E$969,3,FALSE)</f>
        <v>-31900.749137801406</v>
      </c>
      <c r="F34" s="2" t="s">
        <v>66</v>
      </c>
      <c r="G34" s="9" t="str">
        <f t="shared" si="4"/>
        <v>28338.452</v>
      </c>
      <c r="H34" s="15">
        <f t="shared" si="5"/>
        <v>358</v>
      </c>
      <c r="I34" s="43" t="s">
        <v>82</v>
      </c>
      <c r="J34" s="44" t="s">
        <v>83</v>
      </c>
      <c r="K34" s="43">
        <v>358</v>
      </c>
      <c r="L34" s="43" t="s">
        <v>84</v>
      </c>
      <c r="M34" s="44" t="s">
        <v>70</v>
      </c>
      <c r="N34" s="44"/>
      <c r="O34" s="45" t="s">
        <v>71</v>
      </c>
      <c r="P34" s="45" t="s">
        <v>72</v>
      </c>
    </row>
    <row r="35" spans="1:16" ht="12.75" customHeight="1" thickBot="1" x14ac:dyDescent="0.25">
      <c r="A35" s="15" t="str">
        <f t="shared" si="0"/>
        <v> AAAN 11.5.47 </v>
      </c>
      <c r="B35" s="2" t="str">
        <f t="shared" si="1"/>
        <v>I</v>
      </c>
      <c r="C35" s="15">
        <f t="shared" si="2"/>
        <v>28366.47</v>
      </c>
      <c r="D35" s="9" t="str">
        <f t="shared" si="3"/>
        <v>vis</v>
      </c>
      <c r="E35" s="42">
        <f>VLOOKUP(C35,Active!C$21:E$969,3,FALSE)</f>
        <v>-31858.784736644149</v>
      </c>
      <c r="F35" s="2" t="s">
        <v>66</v>
      </c>
      <c r="G35" s="9" t="str">
        <f t="shared" si="4"/>
        <v>28366.470</v>
      </c>
      <c r="H35" s="15">
        <f t="shared" si="5"/>
        <v>400</v>
      </c>
      <c r="I35" s="43" t="s">
        <v>85</v>
      </c>
      <c r="J35" s="44" t="s">
        <v>86</v>
      </c>
      <c r="K35" s="43">
        <v>400</v>
      </c>
      <c r="L35" s="43" t="s">
        <v>87</v>
      </c>
      <c r="M35" s="44" t="s">
        <v>70</v>
      </c>
      <c r="N35" s="44"/>
      <c r="O35" s="45" t="s">
        <v>71</v>
      </c>
      <c r="P35" s="45" t="s">
        <v>72</v>
      </c>
    </row>
    <row r="36" spans="1:16" ht="12.75" customHeight="1" thickBot="1" x14ac:dyDescent="0.25">
      <c r="A36" s="15" t="str">
        <f t="shared" si="0"/>
        <v> AAAN 11.5.47 </v>
      </c>
      <c r="B36" s="2" t="str">
        <f t="shared" si="1"/>
        <v>I</v>
      </c>
      <c r="C36" s="15">
        <f t="shared" si="2"/>
        <v>28784.47</v>
      </c>
      <c r="D36" s="9" t="str">
        <f t="shared" si="3"/>
        <v>vis</v>
      </c>
      <c r="E36" s="42">
        <f>VLOOKUP(C36,Active!C$21:E$969,3,FALSE)</f>
        <v>-31232.718647568083</v>
      </c>
      <c r="F36" s="2" t="s">
        <v>66</v>
      </c>
      <c r="G36" s="9" t="str">
        <f t="shared" si="4"/>
        <v>28784.470</v>
      </c>
      <c r="H36" s="15">
        <f t="shared" si="5"/>
        <v>1026</v>
      </c>
      <c r="I36" s="43" t="s">
        <v>88</v>
      </c>
      <c r="J36" s="44" t="s">
        <v>89</v>
      </c>
      <c r="K36" s="43">
        <v>1026</v>
      </c>
      <c r="L36" s="43" t="s">
        <v>90</v>
      </c>
      <c r="M36" s="44" t="s">
        <v>70</v>
      </c>
      <c r="N36" s="44"/>
      <c r="O36" s="45" t="s">
        <v>71</v>
      </c>
      <c r="P36" s="45" t="s">
        <v>72</v>
      </c>
    </row>
    <row r="37" spans="1:16" ht="12.75" customHeight="1" thickBot="1" x14ac:dyDescent="0.25">
      <c r="A37" s="15" t="str">
        <f t="shared" si="0"/>
        <v> AAAN 11.5.47 </v>
      </c>
      <c r="B37" s="2" t="str">
        <f t="shared" si="1"/>
        <v>I</v>
      </c>
      <c r="C37" s="15">
        <f t="shared" si="2"/>
        <v>28806.475999999999</v>
      </c>
      <c r="D37" s="9" t="str">
        <f t="shared" si="3"/>
        <v>vis</v>
      </c>
      <c r="E37" s="42">
        <f>VLOOKUP(C37,Active!C$21:E$969,3,FALSE)</f>
        <v>-31199.75881418003</v>
      </c>
      <c r="F37" s="2" t="s">
        <v>66</v>
      </c>
      <c r="G37" s="9" t="str">
        <f t="shared" si="4"/>
        <v>28806.476</v>
      </c>
      <c r="H37" s="15">
        <f t="shared" si="5"/>
        <v>1059</v>
      </c>
      <c r="I37" s="43" t="s">
        <v>91</v>
      </c>
      <c r="J37" s="44" t="s">
        <v>92</v>
      </c>
      <c r="K37" s="43">
        <v>1059</v>
      </c>
      <c r="L37" s="43" t="s">
        <v>93</v>
      </c>
      <c r="M37" s="44" t="s">
        <v>70</v>
      </c>
      <c r="N37" s="44"/>
      <c r="O37" s="45" t="s">
        <v>71</v>
      </c>
      <c r="P37" s="45" t="s">
        <v>72</v>
      </c>
    </row>
    <row r="38" spans="1:16" ht="12.75" customHeight="1" thickBot="1" x14ac:dyDescent="0.25">
      <c r="A38" s="15" t="str">
        <f t="shared" si="0"/>
        <v> AAAN 11.5.47 </v>
      </c>
      <c r="B38" s="2" t="str">
        <f t="shared" si="1"/>
        <v>I</v>
      </c>
      <c r="C38" s="15">
        <f t="shared" si="2"/>
        <v>28859.216</v>
      </c>
      <c r="D38" s="9" t="str">
        <f t="shared" si="3"/>
        <v>vis</v>
      </c>
      <c r="E38" s="42">
        <f>VLOOKUP(C38,Active!C$21:E$969,3,FALSE)</f>
        <v>-31120.766647821481</v>
      </c>
      <c r="F38" s="2" t="s">
        <v>66</v>
      </c>
      <c r="G38" s="9" t="str">
        <f t="shared" si="4"/>
        <v>28859.216</v>
      </c>
      <c r="H38" s="15">
        <f t="shared" si="5"/>
        <v>1138</v>
      </c>
      <c r="I38" s="43" t="s">
        <v>94</v>
      </c>
      <c r="J38" s="44" t="s">
        <v>95</v>
      </c>
      <c r="K38" s="43">
        <v>1138</v>
      </c>
      <c r="L38" s="43" t="s">
        <v>96</v>
      </c>
      <c r="M38" s="44" t="s">
        <v>70</v>
      </c>
      <c r="N38" s="44"/>
      <c r="O38" s="45" t="s">
        <v>71</v>
      </c>
      <c r="P38" s="45" t="s">
        <v>72</v>
      </c>
    </row>
    <row r="39" spans="1:16" ht="12.75" customHeight="1" thickBot="1" x14ac:dyDescent="0.25">
      <c r="A39" s="15" t="str">
        <f t="shared" si="0"/>
        <v> AAAN 11.5.47 </v>
      </c>
      <c r="B39" s="2" t="str">
        <f t="shared" si="1"/>
        <v>I</v>
      </c>
      <c r="C39" s="15">
        <f t="shared" si="2"/>
        <v>28865.23</v>
      </c>
      <c r="D39" s="9" t="str">
        <f t="shared" si="3"/>
        <v>vis</v>
      </c>
      <c r="E39" s="42">
        <f>VLOOKUP(C39,Active!C$21:E$969,3,FALSE)</f>
        <v>-31111.759084520756</v>
      </c>
      <c r="F39" s="2" t="s">
        <v>66</v>
      </c>
      <c r="G39" s="9" t="str">
        <f t="shared" si="4"/>
        <v>28865.230</v>
      </c>
      <c r="H39" s="15">
        <f t="shared" si="5"/>
        <v>1147</v>
      </c>
      <c r="I39" s="43" t="s">
        <v>97</v>
      </c>
      <c r="J39" s="44" t="s">
        <v>98</v>
      </c>
      <c r="K39" s="43">
        <v>1147</v>
      </c>
      <c r="L39" s="43" t="s">
        <v>99</v>
      </c>
      <c r="M39" s="44" t="s">
        <v>70</v>
      </c>
      <c r="N39" s="44"/>
      <c r="O39" s="45" t="s">
        <v>71</v>
      </c>
      <c r="P39" s="45" t="s">
        <v>72</v>
      </c>
    </row>
    <row r="40" spans="1:16" ht="12.75" customHeight="1" thickBot="1" x14ac:dyDescent="0.25">
      <c r="A40" s="15" t="str">
        <f t="shared" si="0"/>
        <v> AAAN 11.5.47 </v>
      </c>
      <c r="B40" s="2" t="str">
        <f t="shared" si="1"/>
        <v>I</v>
      </c>
      <c r="C40" s="15">
        <f t="shared" si="2"/>
        <v>29160.368999999999</v>
      </c>
      <c r="D40" s="9" t="str">
        <f t="shared" si="3"/>
        <v>vis</v>
      </c>
      <c r="E40" s="42">
        <f>VLOOKUP(C40,Active!C$21:E$969,3,FALSE)</f>
        <v>-30669.709994894391</v>
      </c>
      <c r="F40" s="2" t="s">
        <v>66</v>
      </c>
      <c r="G40" s="9" t="str">
        <f t="shared" si="4"/>
        <v>29160.369</v>
      </c>
      <c r="H40" s="15">
        <f t="shared" si="5"/>
        <v>1589</v>
      </c>
      <c r="I40" s="43" t="s">
        <v>100</v>
      </c>
      <c r="J40" s="44" t="s">
        <v>101</v>
      </c>
      <c r="K40" s="43">
        <v>1589</v>
      </c>
      <c r="L40" s="43" t="s">
        <v>102</v>
      </c>
      <c r="M40" s="44" t="s">
        <v>70</v>
      </c>
      <c r="N40" s="44"/>
      <c r="O40" s="45" t="s">
        <v>71</v>
      </c>
      <c r="P40" s="45" t="s">
        <v>72</v>
      </c>
    </row>
    <row r="41" spans="1:16" ht="12.75" customHeight="1" thickBot="1" x14ac:dyDescent="0.25">
      <c r="A41" s="15" t="str">
        <f t="shared" si="0"/>
        <v> AAAN 11.5.47 </v>
      </c>
      <c r="B41" s="2" t="str">
        <f t="shared" si="1"/>
        <v>I</v>
      </c>
      <c r="C41" s="15">
        <f t="shared" si="2"/>
        <v>29166.374</v>
      </c>
      <c r="D41" s="9" t="str">
        <f t="shared" si="3"/>
        <v>vis</v>
      </c>
      <c r="E41" s="42">
        <f>VLOOKUP(C41,Active!C$21:E$969,3,FALSE)</f>
        <v>-30660.715911485535</v>
      </c>
      <c r="F41" s="2" t="s">
        <v>66</v>
      </c>
      <c r="G41" s="9" t="str">
        <f t="shared" si="4"/>
        <v>29166.374</v>
      </c>
      <c r="H41" s="15">
        <f t="shared" si="5"/>
        <v>1598</v>
      </c>
      <c r="I41" s="43" t="s">
        <v>103</v>
      </c>
      <c r="J41" s="44" t="s">
        <v>104</v>
      </c>
      <c r="K41" s="43">
        <v>1598</v>
      </c>
      <c r="L41" s="43" t="s">
        <v>105</v>
      </c>
      <c r="M41" s="44" t="s">
        <v>70</v>
      </c>
      <c r="N41" s="44"/>
      <c r="O41" s="45" t="s">
        <v>71</v>
      </c>
      <c r="P41" s="45" t="s">
        <v>72</v>
      </c>
    </row>
    <row r="42" spans="1:16" ht="12.75" customHeight="1" thickBot="1" x14ac:dyDescent="0.25">
      <c r="A42" s="15" t="str">
        <f t="shared" si="0"/>
        <v> AAAN 11.5.47 </v>
      </c>
      <c r="B42" s="2" t="str">
        <f t="shared" si="1"/>
        <v>I</v>
      </c>
      <c r="C42" s="15">
        <f t="shared" si="2"/>
        <v>29170.361000000001</v>
      </c>
      <c r="D42" s="9" t="str">
        <f t="shared" si="3"/>
        <v>vis</v>
      </c>
      <c r="E42" s="42">
        <f>VLOOKUP(C42,Active!C$21:E$969,3,FALSE)</f>
        <v>-30654.744319387097</v>
      </c>
      <c r="F42" s="2" t="s">
        <v>66</v>
      </c>
      <c r="G42" s="9" t="str">
        <f t="shared" si="4"/>
        <v>29170.361</v>
      </c>
      <c r="H42" s="15">
        <f t="shared" si="5"/>
        <v>1604</v>
      </c>
      <c r="I42" s="43" t="s">
        <v>106</v>
      </c>
      <c r="J42" s="44" t="s">
        <v>107</v>
      </c>
      <c r="K42" s="43">
        <v>1604</v>
      </c>
      <c r="L42" s="43" t="s">
        <v>108</v>
      </c>
      <c r="M42" s="44" t="s">
        <v>70</v>
      </c>
      <c r="N42" s="44"/>
      <c r="O42" s="45" t="s">
        <v>71</v>
      </c>
      <c r="P42" s="45" t="s">
        <v>72</v>
      </c>
    </row>
    <row r="43" spans="1:16" ht="12.75" customHeight="1" thickBot="1" x14ac:dyDescent="0.25">
      <c r="A43" s="15" t="str">
        <f t="shared" ref="A43:A77" si="6">P43</f>
        <v> AAAN 11.5.47 </v>
      </c>
      <c r="B43" s="2" t="str">
        <f t="shared" ref="B43:B77" si="7">IF(H43=INT(H43),"I","II")</f>
        <v>I</v>
      </c>
      <c r="C43" s="15">
        <f t="shared" ref="C43:C77" si="8">1*G43</f>
        <v>29192.396000000001</v>
      </c>
      <c r="D43" s="9" t="str">
        <f t="shared" ref="D43:D77" si="9">VLOOKUP(F43,I$1:J$5,2,FALSE)</f>
        <v>vis</v>
      </c>
      <c r="E43" s="42">
        <f>VLOOKUP(C43,Active!C$21:E$969,3,FALSE)</f>
        <v>-30621.741050791901</v>
      </c>
      <c r="F43" s="2" t="s">
        <v>66</v>
      </c>
      <c r="G43" s="9" t="str">
        <f t="shared" ref="G43:G77" si="10">MID(I43,3,LEN(I43)-3)</f>
        <v>29192.396</v>
      </c>
      <c r="H43" s="15">
        <f t="shared" ref="H43:H77" si="11">1*K43</f>
        <v>1637</v>
      </c>
      <c r="I43" s="43" t="s">
        <v>109</v>
      </c>
      <c r="J43" s="44" t="s">
        <v>110</v>
      </c>
      <c r="K43" s="43">
        <v>1637</v>
      </c>
      <c r="L43" s="43" t="s">
        <v>111</v>
      </c>
      <c r="M43" s="44" t="s">
        <v>70</v>
      </c>
      <c r="N43" s="44"/>
      <c r="O43" s="45" t="s">
        <v>71</v>
      </c>
      <c r="P43" s="45" t="s">
        <v>72</v>
      </c>
    </row>
    <row r="44" spans="1:16" ht="12.75" customHeight="1" thickBot="1" x14ac:dyDescent="0.25">
      <c r="A44" s="15" t="str">
        <f t="shared" si="6"/>
        <v> AAAN 11.5.47 </v>
      </c>
      <c r="B44" s="2" t="str">
        <f t="shared" si="7"/>
        <v>I</v>
      </c>
      <c r="C44" s="15">
        <f t="shared" si="8"/>
        <v>29194.416000000001</v>
      </c>
      <c r="D44" s="9" t="str">
        <f t="shared" si="9"/>
        <v>vis</v>
      </c>
      <c r="E44" s="42">
        <f>VLOOKUP(C44,Active!C$21:E$969,3,FALSE)</f>
        <v>-30618.715563949954</v>
      </c>
      <c r="F44" s="2" t="s">
        <v>66</v>
      </c>
      <c r="G44" s="9" t="str">
        <f t="shared" si="10"/>
        <v>29194.416</v>
      </c>
      <c r="H44" s="15">
        <f t="shared" si="11"/>
        <v>1640</v>
      </c>
      <c r="I44" s="43" t="s">
        <v>112</v>
      </c>
      <c r="J44" s="44" t="s">
        <v>113</v>
      </c>
      <c r="K44" s="43">
        <v>1640</v>
      </c>
      <c r="L44" s="43" t="s">
        <v>105</v>
      </c>
      <c r="M44" s="44" t="s">
        <v>70</v>
      </c>
      <c r="N44" s="44"/>
      <c r="O44" s="45" t="s">
        <v>71</v>
      </c>
      <c r="P44" s="45" t="s">
        <v>72</v>
      </c>
    </row>
    <row r="45" spans="1:16" ht="12.75" customHeight="1" thickBot="1" x14ac:dyDescent="0.25">
      <c r="A45" s="15" t="str">
        <f t="shared" si="6"/>
        <v> VSS 2.147 </v>
      </c>
      <c r="B45" s="2" t="str">
        <f t="shared" si="7"/>
        <v>I</v>
      </c>
      <c r="C45" s="15">
        <f t="shared" si="8"/>
        <v>29879.45</v>
      </c>
      <c r="D45" s="9" t="str">
        <f t="shared" si="9"/>
        <v>vis</v>
      </c>
      <c r="E45" s="42">
        <f>VLOOKUP(C45,Active!C$21:E$969,3,FALSE)</f>
        <v>-29592.695092026192</v>
      </c>
      <c r="F45" s="2" t="s">
        <v>66</v>
      </c>
      <c r="G45" s="9" t="str">
        <f t="shared" si="10"/>
        <v>29879.450</v>
      </c>
      <c r="H45" s="15">
        <f t="shared" si="11"/>
        <v>2666</v>
      </c>
      <c r="I45" s="43" t="s">
        <v>114</v>
      </c>
      <c r="J45" s="44" t="s">
        <v>115</v>
      </c>
      <c r="K45" s="43">
        <v>2666</v>
      </c>
      <c r="L45" s="43" t="s">
        <v>116</v>
      </c>
      <c r="M45" s="44" t="s">
        <v>70</v>
      </c>
      <c r="N45" s="44"/>
      <c r="O45" s="45" t="s">
        <v>117</v>
      </c>
      <c r="P45" s="45" t="s">
        <v>118</v>
      </c>
    </row>
    <row r="46" spans="1:16" ht="12.75" customHeight="1" thickBot="1" x14ac:dyDescent="0.25">
      <c r="A46" s="15" t="str">
        <f t="shared" si="6"/>
        <v> VSS 2.147 </v>
      </c>
      <c r="B46" s="2" t="str">
        <f t="shared" si="7"/>
        <v>I</v>
      </c>
      <c r="C46" s="15">
        <f t="shared" si="8"/>
        <v>30546.452000000001</v>
      </c>
      <c r="D46" s="9" t="str">
        <f t="shared" si="9"/>
        <v>vis</v>
      </c>
      <c r="E46" s="42">
        <f>VLOOKUP(C46,Active!C$21:E$969,3,FALSE)</f>
        <v>-28593.682332346969</v>
      </c>
      <c r="F46" s="2" t="s">
        <v>66</v>
      </c>
      <c r="G46" s="9" t="str">
        <f t="shared" si="10"/>
        <v>30546.452</v>
      </c>
      <c r="H46" s="15">
        <f t="shared" si="11"/>
        <v>3665</v>
      </c>
      <c r="I46" s="43" t="s">
        <v>119</v>
      </c>
      <c r="J46" s="44" t="s">
        <v>120</v>
      </c>
      <c r="K46" s="43">
        <v>3665</v>
      </c>
      <c r="L46" s="43" t="s">
        <v>105</v>
      </c>
      <c r="M46" s="44" t="s">
        <v>70</v>
      </c>
      <c r="N46" s="44"/>
      <c r="O46" s="45" t="s">
        <v>117</v>
      </c>
      <c r="P46" s="45" t="s">
        <v>118</v>
      </c>
    </row>
    <row r="47" spans="1:16" ht="12.75" customHeight="1" thickBot="1" x14ac:dyDescent="0.25">
      <c r="A47" s="15" t="str">
        <f t="shared" si="6"/>
        <v> VSS 2.147 </v>
      </c>
      <c r="B47" s="2" t="str">
        <f t="shared" si="7"/>
        <v>I</v>
      </c>
      <c r="C47" s="15">
        <f t="shared" si="8"/>
        <v>31229.504000000001</v>
      </c>
      <c r="D47" s="9" t="str">
        <f t="shared" si="9"/>
        <v>vis</v>
      </c>
      <c r="E47" s="42">
        <f>VLOOKUP(C47,Active!C$21:E$969,3,FALSE)</f>
        <v>-27570.630432166145</v>
      </c>
      <c r="F47" s="2" t="s">
        <v>66</v>
      </c>
      <c r="G47" s="9" t="str">
        <f t="shared" si="10"/>
        <v>31229.504</v>
      </c>
      <c r="H47" s="15">
        <f t="shared" si="11"/>
        <v>4688</v>
      </c>
      <c r="I47" s="43" t="s">
        <v>121</v>
      </c>
      <c r="J47" s="44" t="s">
        <v>122</v>
      </c>
      <c r="K47" s="43">
        <v>4688</v>
      </c>
      <c r="L47" s="43" t="s">
        <v>123</v>
      </c>
      <c r="M47" s="44" t="s">
        <v>70</v>
      </c>
      <c r="N47" s="44"/>
      <c r="O47" s="45" t="s">
        <v>117</v>
      </c>
      <c r="P47" s="45" t="s">
        <v>118</v>
      </c>
    </row>
    <row r="48" spans="1:16" ht="12.75" customHeight="1" thickBot="1" x14ac:dyDescent="0.25">
      <c r="A48" s="15" t="str">
        <f t="shared" si="6"/>
        <v> VSS 2.147 </v>
      </c>
      <c r="B48" s="2" t="str">
        <f t="shared" si="7"/>
        <v>I</v>
      </c>
      <c r="C48" s="15">
        <f t="shared" si="8"/>
        <v>31233.492999999999</v>
      </c>
      <c r="D48" s="9" t="str">
        <f t="shared" si="9"/>
        <v>vis</v>
      </c>
      <c r="E48" s="42">
        <f>VLOOKUP(C48,Active!C$21:E$969,3,FALSE)</f>
        <v>-27564.655844536184</v>
      </c>
      <c r="F48" s="2" t="s">
        <v>66</v>
      </c>
      <c r="G48" s="9" t="str">
        <f t="shared" si="10"/>
        <v>31233.493</v>
      </c>
      <c r="H48" s="15">
        <f t="shared" si="11"/>
        <v>4694</v>
      </c>
      <c r="I48" s="43" t="s">
        <v>124</v>
      </c>
      <c r="J48" s="44" t="s">
        <v>125</v>
      </c>
      <c r="K48" s="43">
        <v>4694</v>
      </c>
      <c r="L48" s="43" t="s">
        <v>75</v>
      </c>
      <c r="M48" s="44" t="s">
        <v>70</v>
      </c>
      <c r="N48" s="44"/>
      <c r="O48" s="45" t="s">
        <v>117</v>
      </c>
      <c r="P48" s="45" t="s">
        <v>118</v>
      </c>
    </row>
    <row r="49" spans="1:16" ht="12.75" customHeight="1" thickBot="1" x14ac:dyDescent="0.25">
      <c r="A49" s="15" t="str">
        <f t="shared" si="6"/>
        <v> VSS 2.147 </v>
      </c>
      <c r="B49" s="2" t="str">
        <f t="shared" si="7"/>
        <v>I</v>
      </c>
      <c r="C49" s="15">
        <f t="shared" si="8"/>
        <v>31647.465</v>
      </c>
      <c r="D49" s="9" t="str">
        <f t="shared" si="9"/>
        <v>vis</v>
      </c>
      <c r="E49" s="42">
        <f>VLOOKUP(C49,Active!C$21:E$969,3,FALSE)</f>
        <v>-26944.62275595485</v>
      </c>
      <c r="F49" s="2" t="s">
        <v>66</v>
      </c>
      <c r="G49" s="9" t="str">
        <f t="shared" si="10"/>
        <v>31647.465</v>
      </c>
      <c r="H49" s="15">
        <f t="shared" si="11"/>
        <v>5314</v>
      </c>
      <c r="I49" s="43" t="s">
        <v>126</v>
      </c>
      <c r="J49" s="44" t="s">
        <v>127</v>
      </c>
      <c r="K49" s="43">
        <v>5314</v>
      </c>
      <c r="L49" s="43" t="s">
        <v>128</v>
      </c>
      <c r="M49" s="44" t="s">
        <v>70</v>
      </c>
      <c r="N49" s="44"/>
      <c r="O49" s="45" t="s">
        <v>117</v>
      </c>
      <c r="P49" s="45" t="s">
        <v>118</v>
      </c>
    </row>
    <row r="50" spans="1:16" ht="12.75" customHeight="1" thickBot="1" x14ac:dyDescent="0.25">
      <c r="A50" s="15" t="str">
        <f t="shared" si="6"/>
        <v> VSS 2.147 </v>
      </c>
      <c r="B50" s="2" t="str">
        <f t="shared" si="7"/>
        <v>I</v>
      </c>
      <c r="C50" s="15">
        <f t="shared" si="8"/>
        <v>31671.453000000001</v>
      </c>
      <c r="D50" s="9" t="str">
        <f t="shared" si="9"/>
        <v>vis</v>
      </c>
      <c r="E50" s="42">
        <f>VLOOKUP(C50,Active!C$21:E$969,3,FALSE)</f>
        <v>-26908.694350823851</v>
      </c>
      <c r="F50" s="2" t="s">
        <v>66</v>
      </c>
      <c r="G50" s="9" t="str">
        <f t="shared" si="10"/>
        <v>31671.453</v>
      </c>
      <c r="H50" s="15">
        <f t="shared" si="11"/>
        <v>5350</v>
      </c>
      <c r="I50" s="43" t="s">
        <v>129</v>
      </c>
      <c r="J50" s="44" t="s">
        <v>130</v>
      </c>
      <c r="K50" s="43">
        <v>5350</v>
      </c>
      <c r="L50" s="43" t="s">
        <v>131</v>
      </c>
      <c r="M50" s="44" t="s">
        <v>70</v>
      </c>
      <c r="N50" s="44"/>
      <c r="O50" s="45" t="s">
        <v>117</v>
      </c>
      <c r="P50" s="45" t="s">
        <v>118</v>
      </c>
    </row>
    <row r="51" spans="1:16" ht="12.75" customHeight="1" thickBot="1" x14ac:dyDescent="0.25">
      <c r="A51" s="15" t="str">
        <f t="shared" si="6"/>
        <v> VSS 2.147 </v>
      </c>
      <c r="B51" s="2" t="str">
        <f t="shared" si="7"/>
        <v>I</v>
      </c>
      <c r="C51" s="15">
        <f t="shared" si="8"/>
        <v>31762.31</v>
      </c>
      <c r="D51" s="9" t="str">
        <f t="shared" si="9"/>
        <v>vis</v>
      </c>
      <c r="E51" s="42">
        <f>VLOOKUP(C51,Active!C$21:E$969,3,FALSE)</f>
        <v>-26772.611846864082</v>
      </c>
      <c r="F51" s="2" t="s">
        <v>66</v>
      </c>
      <c r="G51" s="9" t="str">
        <f t="shared" si="10"/>
        <v>31762.310</v>
      </c>
      <c r="H51" s="15">
        <f t="shared" si="11"/>
        <v>5486</v>
      </c>
      <c r="I51" s="43" t="s">
        <v>132</v>
      </c>
      <c r="J51" s="44" t="s">
        <v>133</v>
      </c>
      <c r="K51" s="43">
        <v>5486</v>
      </c>
      <c r="L51" s="43" t="s">
        <v>134</v>
      </c>
      <c r="M51" s="44" t="s">
        <v>70</v>
      </c>
      <c r="N51" s="44"/>
      <c r="O51" s="45" t="s">
        <v>117</v>
      </c>
      <c r="P51" s="45" t="s">
        <v>118</v>
      </c>
    </row>
    <row r="52" spans="1:16" ht="12.75" customHeight="1" thickBot="1" x14ac:dyDescent="0.25">
      <c r="A52" s="15" t="str">
        <f t="shared" si="6"/>
        <v> VSS 2.147 </v>
      </c>
      <c r="B52" s="2" t="str">
        <f t="shared" si="7"/>
        <v>I</v>
      </c>
      <c r="C52" s="15">
        <f t="shared" si="8"/>
        <v>31936.524000000001</v>
      </c>
      <c r="D52" s="9" t="str">
        <f t="shared" si="9"/>
        <v>vis</v>
      </c>
      <c r="E52" s="42">
        <f>VLOOKUP(C52,Active!C$21:E$969,3,FALSE)</f>
        <v>-26511.680082169587</v>
      </c>
      <c r="F52" s="2" t="s">
        <v>66</v>
      </c>
      <c r="G52" s="9" t="str">
        <f t="shared" si="10"/>
        <v>31936.524</v>
      </c>
      <c r="H52" s="15">
        <f t="shared" si="11"/>
        <v>5747</v>
      </c>
      <c r="I52" s="43" t="s">
        <v>135</v>
      </c>
      <c r="J52" s="44" t="s">
        <v>136</v>
      </c>
      <c r="K52" s="43">
        <v>5747</v>
      </c>
      <c r="L52" s="43" t="s">
        <v>137</v>
      </c>
      <c r="M52" s="44" t="s">
        <v>70</v>
      </c>
      <c r="N52" s="44"/>
      <c r="O52" s="45" t="s">
        <v>117</v>
      </c>
      <c r="P52" s="45" t="s">
        <v>118</v>
      </c>
    </row>
    <row r="53" spans="1:16" ht="12.75" customHeight="1" thickBot="1" x14ac:dyDescent="0.25">
      <c r="A53" s="15" t="str">
        <f t="shared" si="6"/>
        <v> VSS 2.147 </v>
      </c>
      <c r="B53" s="2" t="str">
        <f t="shared" si="7"/>
        <v>I</v>
      </c>
      <c r="C53" s="15">
        <f t="shared" si="8"/>
        <v>32089.445</v>
      </c>
      <c r="D53" s="9" t="str">
        <f t="shared" si="9"/>
        <v>vis</v>
      </c>
      <c r="E53" s="42">
        <f>VLOOKUP(C53,Active!C$21:E$969,3,FALSE)</f>
        <v>-26282.640243873895</v>
      </c>
      <c r="F53" s="2" t="s">
        <v>66</v>
      </c>
      <c r="G53" s="9" t="str">
        <f t="shared" si="10"/>
        <v>32089.445</v>
      </c>
      <c r="H53" s="15">
        <f t="shared" si="11"/>
        <v>5976</v>
      </c>
      <c r="I53" s="43" t="s">
        <v>138</v>
      </c>
      <c r="J53" s="44" t="s">
        <v>139</v>
      </c>
      <c r="K53" s="43">
        <v>5976</v>
      </c>
      <c r="L53" s="43" t="s">
        <v>140</v>
      </c>
      <c r="M53" s="44" t="s">
        <v>70</v>
      </c>
      <c r="N53" s="44"/>
      <c r="O53" s="45" t="s">
        <v>117</v>
      </c>
      <c r="P53" s="45" t="s">
        <v>118</v>
      </c>
    </row>
    <row r="54" spans="1:16" ht="12.75" customHeight="1" thickBot="1" x14ac:dyDescent="0.25">
      <c r="A54" s="15" t="str">
        <f t="shared" si="6"/>
        <v> VSS 2.147 </v>
      </c>
      <c r="B54" s="2" t="str">
        <f t="shared" si="7"/>
        <v>I</v>
      </c>
      <c r="C54" s="15">
        <f t="shared" si="8"/>
        <v>32354.468000000001</v>
      </c>
      <c r="D54" s="9" t="str">
        <f t="shared" si="9"/>
        <v>vis</v>
      </c>
      <c r="E54" s="42">
        <f>VLOOKUP(C54,Active!C$21:E$969,3,FALSE)</f>
        <v>-25885.697867976269</v>
      </c>
      <c r="F54" s="2" t="s">
        <v>66</v>
      </c>
      <c r="G54" s="9" t="str">
        <f t="shared" si="10"/>
        <v>32354.468</v>
      </c>
      <c r="H54" s="15">
        <f t="shared" si="11"/>
        <v>6373</v>
      </c>
      <c r="I54" s="43" t="s">
        <v>141</v>
      </c>
      <c r="J54" s="44" t="s">
        <v>142</v>
      </c>
      <c r="K54" s="43">
        <v>6373</v>
      </c>
      <c r="L54" s="43" t="s">
        <v>143</v>
      </c>
      <c r="M54" s="44" t="s">
        <v>70</v>
      </c>
      <c r="N54" s="44"/>
      <c r="O54" s="45" t="s">
        <v>117</v>
      </c>
      <c r="P54" s="45" t="s">
        <v>118</v>
      </c>
    </row>
    <row r="55" spans="1:16" ht="12.75" customHeight="1" thickBot="1" x14ac:dyDescent="0.25">
      <c r="A55" s="15" t="str">
        <f t="shared" si="6"/>
        <v> VSS 2.147 </v>
      </c>
      <c r="B55" s="2" t="str">
        <f t="shared" si="7"/>
        <v>I</v>
      </c>
      <c r="C55" s="15">
        <f t="shared" si="8"/>
        <v>33178.413</v>
      </c>
      <c r="D55" s="9" t="str">
        <f t="shared" si="9"/>
        <v>vis</v>
      </c>
      <c r="E55" s="42">
        <f>VLOOKUP(C55,Active!C$21:E$969,3,FALSE)</f>
        <v>-24651.6212561012</v>
      </c>
      <c r="F55" s="2" t="s">
        <v>66</v>
      </c>
      <c r="G55" s="9" t="str">
        <f t="shared" si="10"/>
        <v>33178.413</v>
      </c>
      <c r="H55" s="15">
        <f t="shared" si="11"/>
        <v>7607</v>
      </c>
      <c r="I55" s="43" t="s">
        <v>144</v>
      </c>
      <c r="J55" s="44" t="s">
        <v>145</v>
      </c>
      <c r="K55" s="43">
        <v>7607</v>
      </c>
      <c r="L55" s="43" t="s">
        <v>146</v>
      </c>
      <c r="M55" s="44" t="s">
        <v>70</v>
      </c>
      <c r="N55" s="44"/>
      <c r="O55" s="45" t="s">
        <v>117</v>
      </c>
      <c r="P55" s="45" t="s">
        <v>118</v>
      </c>
    </row>
    <row r="56" spans="1:16" ht="12.75" customHeight="1" thickBot="1" x14ac:dyDescent="0.25">
      <c r="A56" s="15" t="str">
        <f t="shared" si="6"/>
        <v> VSS 2.147 </v>
      </c>
      <c r="B56" s="2" t="str">
        <f t="shared" si="7"/>
        <v>I</v>
      </c>
      <c r="C56" s="15">
        <f t="shared" si="8"/>
        <v>33558.313000000002</v>
      </c>
      <c r="D56" s="9" t="str">
        <f t="shared" si="9"/>
        <v>vis</v>
      </c>
      <c r="E56" s="42">
        <f>VLOOKUP(C56,Active!C$21:E$969,3,FALSE)</f>
        <v>-24082.620042608381</v>
      </c>
      <c r="F56" s="2" t="s">
        <v>66</v>
      </c>
      <c r="G56" s="9" t="str">
        <f t="shared" si="10"/>
        <v>33558.313</v>
      </c>
      <c r="H56" s="15">
        <f t="shared" si="11"/>
        <v>8176</v>
      </c>
      <c r="I56" s="43" t="s">
        <v>147</v>
      </c>
      <c r="J56" s="44" t="s">
        <v>148</v>
      </c>
      <c r="K56" s="43">
        <v>8176</v>
      </c>
      <c r="L56" s="43" t="s">
        <v>149</v>
      </c>
      <c r="M56" s="44" t="s">
        <v>70</v>
      </c>
      <c r="N56" s="44"/>
      <c r="O56" s="45" t="s">
        <v>117</v>
      </c>
      <c r="P56" s="45" t="s">
        <v>118</v>
      </c>
    </row>
    <row r="57" spans="1:16" ht="12.75" customHeight="1" thickBot="1" x14ac:dyDescent="0.25">
      <c r="A57" s="15" t="str">
        <f t="shared" si="6"/>
        <v> VSS 2.147 </v>
      </c>
      <c r="B57" s="2" t="str">
        <f t="shared" si="7"/>
        <v>I</v>
      </c>
      <c r="C57" s="15">
        <f t="shared" si="8"/>
        <v>33887.457000000002</v>
      </c>
      <c r="D57" s="9" t="str">
        <f t="shared" si="9"/>
        <v>vis</v>
      </c>
      <c r="E57" s="42">
        <f>VLOOKUP(C57,Active!C$21:E$969,3,FALSE)</f>
        <v>-23589.639428199644</v>
      </c>
      <c r="F57" s="2" t="s">
        <v>66</v>
      </c>
      <c r="G57" s="9" t="str">
        <f t="shared" si="10"/>
        <v>33887.457</v>
      </c>
      <c r="H57" s="15">
        <f t="shared" si="11"/>
        <v>8669</v>
      </c>
      <c r="I57" s="43" t="s">
        <v>150</v>
      </c>
      <c r="J57" s="44" t="s">
        <v>151</v>
      </c>
      <c r="K57" s="43">
        <v>8669</v>
      </c>
      <c r="L57" s="43" t="s">
        <v>131</v>
      </c>
      <c r="M57" s="44" t="s">
        <v>70</v>
      </c>
      <c r="N57" s="44"/>
      <c r="O57" s="45" t="s">
        <v>117</v>
      </c>
      <c r="P57" s="45" t="s">
        <v>118</v>
      </c>
    </row>
    <row r="58" spans="1:16" ht="12.75" customHeight="1" thickBot="1" x14ac:dyDescent="0.25">
      <c r="A58" s="15" t="str">
        <f t="shared" si="6"/>
        <v> VSS 2.147 </v>
      </c>
      <c r="B58" s="2" t="str">
        <f t="shared" si="7"/>
        <v>I</v>
      </c>
      <c r="C58" s="15">
        <f t="shared" si="8"/>
        <v>33891.461000000003</v>
      </c>
      <c r="D58" s="9" t="str">
        <f t="shared" si="9"/>
        <v>vis</v>
      </c>
      <c r="E58" s="42">
        <f>VLOOKUP(C58,Active!C$21:E$969,3,FALSE)</f>
        <v>-23583.642374083229</v>
      </c>
      <c r="F58" s="2" t="s">
        <v>66</v>
      </c>
      <c r="G58" s="9" t="str">
        <f t="shared" si="10"/>
        <v>33891.461</v>
      </c>
      <c r="H58" s="15">
        <f t="shared" si="11"/>
        <v>8675</v>
      </c>
      <c r="I58" s="43" t="s">
        <v>152</v>
      </c>
      <c r="J58" s="44" t="s">
        <v>153</v>
      </c>
      <c r="K58" s="43">
        <v>8675</v>
      </c>
      <c r="L58" s="43" t="s">
        <v>154</v>
      </c>
      <c r="M58" s="44" t="s">
        <v>70</v>
      </c>
      <c r="N58" s="44"/>
      <c r="O58" s="45" t="s">
        <v>117</v>
      </c>
      <c r="P58" s="45" t="s">
        <v>118</v>
      </c>
    </row>
    <row r="59" spans="1:16" ht="12.75" customHeight="1" thickBot="1" x14ac:dyDescent="0.25">
      <c r="A59" s="15" t="str">
        <f t="shared" si="6"/>
        <v> VSS 2.147 </v>
      </c>
      <c r="B59" s="2" t="str">
        <f t="shared" si="7"/>
        <v>I</v>
      </c>
      <c r="C59" s="15">
        <f t="shared" si="8"/>
        <v>33895.444000000003</v>
      </c>
      <c r="D59" s="9" t="str">
        <f t="shared" si="9"/>
        <v>vis</v>
      </c>
      <c r="E59" s="42">
        <f>VLOOKUP(C59,Active!C$21:E$969,3,FALSE)</f>
        <v>-23577.676773047846</v>
      </c>
      <c r="F59" s="2" t="s">
        <v>66</v>
      </c>
      <c r="G59" s="9" t="str">
        <f t="shared" si="10"/>
        <v>33895.444</v>
      </c>
      <c r="H59" s="15">
        <f t="shared" si="11"/>
        <v>8681</v>
      </c>
      <c r="I59" s="43" t="s">
        <v>155</v>
      </c>
      <c r="J59" s="44" t="s">
        <v>156</v>
      </c>
      <c r="K59" s="43">
        <v>8681</v>
      </c>
      <c r="L59" s="43" t="s">
        <v>157</v>
      </c>
      <c r="M59" s="44" t="s">
        <v>70</v>
      </c>
      <c r="N59" s="44"/>
      <c r="O59" s="45" t="s">
        <v>117</v>
      </c>
      <c r="P59" s="45" t="s">
        <v>118</v>
      </c>
    </row>
    <row r="60" spans="1:16" ht="12.75" customHeight="1" thickBot="1" x14ac:dyDescent="0.25">
      <c r="A60" s="15" t="str">
        <f t="shared" si="6"/>
        <v> HABZ 30 </v>
      </c>
      <c r="B60" s="2" t="str">
        <f t="shared" si="7"/>
        <v>II</v>
      </c>
      <c r="C60" s="15">
        <f t="shared" si="8"/>
        <v>36898.284</v>
      </c>
      <c r="D60" s="9" t="str">
        <f t="shared" si="9"/>
        <v>vis</v>
      </c>
      <c r="E60" s="42">
        <f>VLOOKUP(C60,Active!C$21:E$969,3,FALSE)</f>
        <v>-19080.125828260352</v>
      </c>
      <c r="F60" s="2" t="s">
        <v>66</v>
      </c>
      <c r="G60" s="9" t="str">
        <f t="shared" si="10"/>
        <v>36898.284</v>
      </c>
      <c r="H60" s="15">
        <f t="shared" si="11"/>
        <v>13178.5</v>
      </c>
      <c r="I60" s="43" t="s">
        <v>158</v>
      </c>
      <c r="J60" s="44" t="s">
        <v>159</v>
      </c>
      <c r="K60" s="43">
        <v>13178.5</v>
      </c>
      <c r="L60" s="43" t="s">
        <v>160</v>
      </c>
      <c r="M60" s="44" t="s">
        <v>70</v>
      </c>
      <c r="N60" s="44"/>
      <c r="O60" s="45" t="s">
        <v>161</v>
      </c>
      <c r="P60" s="45" t="s">
        <v>162</v>
      </c>
    </row>
    <row r="61" spans="1:16" ht="12.75" customHeight="1" thickBot="1" x14ac:dyDescent="0.25">
      <c r="A61" s="15" t="str">
        <f t="shared" si="6"/>
        <v> HABZ 30 </v>
      </c>
      <c r="B61" s="2" t="str">
        <f t="shared" si="7"/>
        <v>II</v>
      </c>
      <c r="C61" s="15">
        <f t="shared" si="8"/>
        <v>37189.394</v>
      </c>
      <c r="D61" s="9" t="str">
        <f t="shared" si="9"/>
        <v>vis</v>
      </c>
      <c r="E61" s="42">
        <f>VLOOKUP(C61,Active!C$21:E$969,3,FALSE)</f>
        <v>-18644.111236894481</v>
      </c>
      <c r="F61" s="2" t="s">
        <v>66</v>
      </c>
      <c r="G61" s="9" t="str">
        <f t="shared" si="10"/>
        <v>37189.394</v>
      </c>
      <c r="H61" s="15">
        <f t="shared" si="11"/>
        <v>13614.5</v>
      </c>
      <c r="I61" s="43" t="s">
        <v>163</v>
      </c>
      <c r="J61" s="44" t="s">
        <v>164</v>
      </c>
      <c r="K61" s="43">
        <v>13614.5</v>
      </c>
      <c r="L61" s="43" t="s">
        <v>165</v>
      </c>
      <c r="M61" s="44" t="s">
        <v>70</v>
      </c>
      <c r="N61" s="44"/>
      <c r="O61" s="45" t="s">
        <v>161</v>
      </c>
      <c r="P61" s="45" t="s">
        <v>162</v>
      </c>
    </row>
    <row r="62" spans="1:16" ht="12.75" customHeight="1" thickBot="1" x14ac:dyDescent="0.25">
      <c r="A62" s="15" t="str">
        <f t="shared" si="6"/>
        <v> HABZ 30 </v>
      </c>
      <c r="B62" s="2" t="str">
        <f t="shared" si="7"/>
        <v>I</v>
      </c>
      <c r="C62" s="15">
        <f t="shared" si="8"/>
        <v>37190.370000000003</v>
      </c>
      <c r="D62" s="9" t="str">
        <f t="shared" si="9"/>
        <v>vis</v>
      </c>
      <c r="E62" s="42">
        <f>VLOOKUP(C62,Active!C$21:E$969,3,FALSE)</f>
        <v>-18642.649417509459</v>
      </c>
      <c r="F62" s="2" t="s">
        <v>66</v>
      </c>
      <c r="G62" s="9" t="str">
        <f t="shared" si="10"/>
        <v>37190.370</v>
      </c>
      <c r="H62" s="15">
        <f t="shared" si="11"/>
        <v>13616</v>
      </c>
      <c r="I62" s="43" t="s">
        <v>166</v>
      </c>
      <c r="J62" s="44" t="s">
        <v>167</v>
      </c>
      <c r="K62" s="43">
        <v>13616</v>
      </c>
      <c r="L62" s="43" t="s">
        <v>168</v>
      </c>
      <c r="M62" s="44" t="s">
        <v>70</v>
      </c>
      <c r="N62" s="44"/>
      <c r="O62" s="45" t="s">
        <v>161</v>
      </c>
      <c r="P62" s="45" t="s">
        <v>162</v>
      </c>
    </row>
    <row r="63" spans="1:16" ht="12.75" customHeight="1" thickBot="1" x14ac:dyDescent="0.25">
      <c r="A63" s="15" t="str">
        <f t="shared" si="6"/>
        <v> HABZ 30 </v>
      </c>
      <c r="B63" s="2" t="str">
        <f t="shared" si="7"/>
        <v>I</v>
      </c>
      <c r="C63" s="15">
        <f t="shared" si="8"/>
        <v>37192.415999999997</v>
      </c>
      <c r="D63" s="9" t="str">
        <f t="shared" si="9"/>
        <v>vis</v>
      </c>
      <c r="E63" s="42">
        <f>VLOOKUP(C63,Active!C$21:E$969,3,FALSE)</f>
        <v>-18639.584988757673</v>
      </c>
      <c r="F63" s="2" t="s">
        <v>66</v>
      </c>
      <c r="G63" s="9" t="str">
        <f t="shared" si="10"/>
        <v>37192.416</v>
      </c>
      <c r="H63" s="15">
        <f t="shared" si="11"/>
        <v>13619</v>
      </c>
      <c r="I63" s="43" t="s">
        <v>169</v>
      </c>
      <c r="J63" s="44" t="s">
        <v>170</v>
      </c>
      <c r="K63" s="43">
        <v>13619</v>
      </c>
      <c r="L63" s="43" t="s">
        <v>171</v>
      </c>
      <c r="M63" s="44" t="s">
        <v>70</v>
      </c>
      <c r="N63" s="44"/>
      <c r="O63" s="45" t="s">
        <v>161</v>
      </c>
      <c r="P63" s="45" t="s">
        <v>162</v>
      </c>
    </row>
    <row r="64" spans="1:16" ht="12.75" customHeight="1" thickBot="1" x14ac:dyDescent="0.25">
      <c r="A64" s="15" t="str">
        <f t="shared" si="6"/>
        <v> HABZ 30 </v>
      </c>
      <c r="B64" s="2" t="str">
        <f t="shared" si="7"/>
        <v>I</v>
      </c>
      <c r="C64" s="15">
        <f t="shared" si="8"/>
        <v>37202.423000000003</v>
      </c>
      <c r="D64" s="9" t="str">
        <f t="shared" si="9"/>
        <v>vis</v>
      </c>
      <c r="E64" s="42">
        <f>VLOOKUP(C64,Active!C$21:E$969,3,FALSE)</f>
        <v>-18624.596846763925</v>
      </c>
      <c r="F64" s="2" t="s">
        <v>66</v>
      </c>
      <c r="G64" s="9" t="str">
        <f t="shared" si="10"/>
        <v>37202.423</v>
      </c>
      <c r="H64" s="15">
        <f t="shared" si="11"/>
        <v>13634</v>
      </c>
      <c r="I64" s="43" t="s">
        <v>172</v>
      </c>
      <c r="J64" s="44" t="s">
        <v>173</v>
      </c>
      <c r="K64" s="43">
        <v>13634</v>
      </c>
      <c r="L64" s="43" t="s">
        <v>157</v>
      </c>
      <c r="M64" s="44" t="s">
        <v>70</v>
      </c>
      <c r="N64" s="44"/>
      <c r="O64" s="45" t="s">
        <v>161</v>
      </c>
      <c r="P64" s="45" t="s">
        <v>162</v>
      </c>
    </row>
    <row r="65" spans="1:16" ht="12.75" customHeight="1" thickBot="1" x14ac:dyDescent="0.25">
      <c r="A65" s="15" t="str">
        <f t="shared" si="6"/>
        <v> HABZ 30 </v>
      </c>
      <c r="B65" s="2" t="str">
        <f t="shared" si="7"/>
        <v>II</v>
      </c>
      <c r="C65" s="15">
        <f t="shared" si="8"/>
        <v>37575.31</v>
      </c>
      <c r="D65" s="9" t="str">
        <f t="shared" si="9"/>
        <v>vis</v>
      </c>
      <c r="E65" s="42">
        <f>VLOOKUP(C65,Active!C$21:E$969,3,FALSE)</f>
        <v>-18066.099464569415</v>
      </c>
      <c r="F65" s="2" t="s">
        <v>66</v>
      </c>
      <c r="G65" s="9" t="str">
        <f t="shared" si="10"/>
        <v>37575.310</v>
      </c>
      <c r="H65" s="15">
        <f t="shared" si="11"/>
        <v>14192.5</v>
      </c>
      <c r="I65" s="43" t="s">
        <v>174</v>
      </c>
      <c r="J65" s="44" t="s">
        <v>175</v>
      </c>
      <c r="K65" s="43">
        <v>14192.5</v>
      </c>
      <c r="L65" s="43" t="s">
        <v>176</v>
      </c>
      <c r="M65" s="44" t="s">
        <v>70</v>
      </c>
      <c r="N65" s="44"/>
      <c r="O65" s="45" t="s">
        <v>161</v>
      </c>
      <c r="P65" s="45" t="s">
        <v>162</v>
      </c>
    </row>
    <row r="66" spans="1:16" ht="12.75" customHeight="1" thickBot="1" x14ac:dyDescent="0.25">
      <c r="A66" s="15" t="str">
        <f t="shared" si="6"/>
        <v> HABZ 30 </v>
      </c>
      <c r="B66" s="2" t="str">
        <f t="shared" si="7"/>
        <v>I</v>
      </c>
      <c r="C66" s="15">
        <f t="shared" si="8"/>
        <v>37885.410000000003</v>
      </c>
      <c r="D66" s="9" t="str">
        <f t="shared" si="9"/>
        <v>vis</v>
      </c>
      <c r="E66" s="42">
        <f>VLOOKUP(C66,Active!C$21:E$969,3,FALSE)</f>
        <v>-17601.642301357715</v>
      </c>
      <c r="F66" s="2" t="s">
        <v>66</v>
      </c>
      <c r="G66" s="9" t="str">
        <f t="shared" si="10"/>
        <v>37885.410</v>
      </c>
      <c r="H66" s="15">
        <f t="shared" si="11"/>
        <v>14657</v>
      </c>
      <c r="I66" s="43" t="s">
        <v>177</v>
      </c>
      <c r="J66" s="44" t="s">
        <v>178</v>
      </c>
      <c r="K66" s="43">
        <v>14657</v>
      </c>
      <c r="L66" s="43" t="s">
        <v>179</v>
      </c>
      <c r="M66" s="44" t="s">
        <v>70</v>
      </c>
      <c r="N66" s="44"/>
      <c r="O66" s="45" t="s">
        <v>161</v>
      </c>
      <c r="P66" s="45" t="s">
        <v>162</v>
      </c>
    </row>
    <row r="67" spans="1:16" ht="12.75" customHeight="1" thickBot="1" x14ac:dyDescent="0.25">
      <c r="A67" s="15" t="str">
        <f t="shared" si="6"/>
        <v> HABZ 30 </v>
      </c>
      <c r="B67" s="2" t="str">
        <f t="shared" si="7"/>
        <v>II</v>
      </c>
      <c r="C67" s="15">
        <f t="shared" si="8"/>
        <v>37886.446000000004</v>
      </c>
      <c r="D67" s="9" t="str">
        <f t="shared" si="9"/>
        <v>vis</v>
      </c>
      <c r="E67" s="42">
        <f>VLOOKUP(C67,Active!C$21:E$969,3,FALSE)</f>
        <v>-17600.090616026893</v>
      </c>
      <c r="F67" s="2" t="s">
        <v>66</v>
      </c>
      <c r="G67" s="9" t="str">
        <f t="shared" si="10"/>
        <v>37886.446</v>
      </c>
      <c r="H67" s="15">
        <f t="shared" si="11"/>
        <v>14658.5</v>
      </c>
      <c r="I67" s="43" t="s">
        <v>180</v>
      </c>
      <c r="J67" s="44" t="s">
        <v>181</v>
      </c>
      <c r="K67" s="43">
        <v>14658.5</v>
      </c>
      <c r="L67" s="43" t="s">
        <v>182</v>
      </c>
      <c r="M67" s="44" t="s">
        <v>70</v>
      </c>
      <c r="N67" s="44"/>
      <c r="O67" s="45" t="s">
        <v>161</v>
      </c>
      <c r="P67" s="45" t="s">
        <v>162</v>
      </c>
    </row>
    <row r="68" spans="1:16" ht="12.75" customHeight="1" thickBot="1" x14ac:dyDescent="0.25">
      <c r="A68" s="15" t="str">
        <f t="shared" si="6"/>
        <v> HABZ 30 </v>
      </c>
      <c r="B68" s="2" t="str">
        <f t="shared" si="7"/>
        <v>II</v>
      </c>
      <c r="C68" s="15">
        <f t="shared" si="8"/>
        <v>38288.370000000003</v>
      </c>
      <c r="D68" s="9" t="str">
        <f t="shared" si="9"/>
        <v>vis</v>
      </c>
      <c r="E68" s="42">
        <f>VLOOKUP(C68,Active!C$21:E$969,3,FALSE)</f>
        <v>-16998.102609362282</v>
      </c>
      <c r="F68" s="2" t="s">
        <v>66</v>
      </c>
      <c r="G68" s="9" t="str">
        <f t="shared" si="10"/>
        <v>38288.370</v>
      </c>
      <c r="H68" s="15">
        <f t="shared" si="11"/>
        <v>15260.5</v>
      </c>
      <c r="I68" s="43" t="s">
        <v>183</v>
      </c>
      <c r="J68" s="44" t="s">
        <v>184</v>
      </c>
      <c r="K68" s="43">
        <v>15260.5</v>
      </c>
      <c r="L68" s="43" t="s">
        <v>185</v>
      </c>
      <c r="M68" s="44" t="s">
        <v>70</v>
      </c>
      <c r="N68" s="44"/>
      <c r="O68" s="45" t="s">
        <v>161</v>
      </c>
      <c r="P68" s="45" t="s">
        <v>162</v>
      </c>
    </row>
    <row r="69" spans="1:16" ht="12.75" customHeight="1" thickBot="1" x14ac:dyDescent="0.25">
      <c r="A69" s="15" t="str">
        <f t="shared" si="6"/>
        <v> HABZ 30 </v>
      </c>
      <c r="B69" s="2" t="str">
        <f t="shared" si="7"/>
        <v>I</v>
      </c>
      <c r="C69" s="15">
        <f t="shared" si="8"/>
        <v>38289.362999999998</v>
      </c>
      <c r="D69" s="9" t="str">
        <f t="shared" si="9"/>
        <v>vis</v>
      </c>
      <c r="E69" s="42">
        <f>VLOOKUP(C69,Active!C$21:E$969,3,FALSE)</f>
        <v>-16996.615327959291</v>
      </c>
      <c r="F69" s="2" t="s">
        <v>66</v>
      </c>
      <c r="G69" s="9" t="str">
        <f t="shared" si="10"/>
        <v>38289.363</v>
      </c>
      <c r="H69" s="15">
        <f t="shared" si="11"/>
        <v>15262</v>
      </c>
      <c r="I69" s="43" t="s">
        <v>186</v>
      </c>
      <c r="J69" s="44" t="s">
        <v>187</v>
      </c>
      <c r="K69" s="43">
        <v>15262</v>
      </c>
      <c r="L69" s="43" t="s">
        <v>188</v>
      </c>
      <c r="M69" s="44" t="s">
        <v>70</v>
      </c>
      <c r="N69" s="44"/>
      <c r="O69" s="45" t="s">
        <v>161</v>
      </c>
      <c r="P69" s="45" t="s">
        <v>162</v>
      </c>
    </row>
    <row r="70" spans="1:16" ht="12.75" customHeight="1" thickBot="1" x14ac:dyDescent="0.25">
      <c r="A70" s="15" t="str">
        <f t="shared" si="6"/>
        <v>BAVM 68 </v>
      </c>
      <c r="B70" s="2" t="str">
        <f t="shared" si="7"/>
        <v>II</v>
      </c>
      <c r="C70" s="15">
        <f t="shared" si="8"/>
        <v>49229.402999999998</v>
      </c>
      <c r="D70" s="9" t="str">
        <f t="shared" si="9"/>
        <v>vis</v>
      </c>
      <c r="E70" s="42">
        <f>VLOOKUP(C70,Active!C$21:E$969,3,FALSE)</f>
        <v>-610.99796639056933</v>
      </c>
      <c r="F70" s="2" t="s">
        <v>66</v>
      </c>
      <c r="G70" s="9" t="str">
        <f t="shared" si="10"/>
        <v>49229.403</v>
      </c>
      <c r="H70" s="15">
        <f t="shared" si="11"/>
        <v>31647.5</v>
      </c>
      <c r="I70" s="43" t="s">
        <v>189</v>
      </c>
      <c r="J70" s="44" t="s">
        <v>190</v>
      </c>
      <c r="K70" s="43">
        <v>31647.5</v>
      </c>
      <c r="L70" s="43" t="s">
        <v>191</v>
      </c>
      <c r="M70" s="44" t="s">
        <v>192</v>
      </c>
      <c r="N70" s="44" t="s">
        <v>193</v>
      </c>
      <c r="O70" s="45" t="s">
        <v>194</v>
      </c>
      <c r="P70" s="46" t="s">
        <v>195</v>
      </c>
    </row>
    <row r="71" spans="1:16" ht="12.75" customHeight="1" thickBot="1" x14ac:dyDescent="0.25">
      <c r="A71" s="15" t="str">
        <f t="shared" si="6"/>
        <v>BAVM 68 </v>
      </c>
      <c r="B71" s="2" t="str">
        <f t="shared" si="7"/>
        <v>II</v>
      </c>
      <c r="C71" s="15">
        <f t="shared" si="8"/>
        <v>49237.4113</v>
      </c>
      <c r="D71" s="9" t="str">
        <f t="shared" si="9"/>
        <v>vis</v>
      </c>
      <c r="E71" s="42">
        <f>VLOOKUP(C71,Active!C$21:E$969,3,FALSE)</f>
        <v>-599.00340882801265</v>
      </c>
      <c r="F71" s="2" t="s">
        <v>66</v>
      </c>
      <c r="G71" s="9" t="str">
        <f t="shared" si="10"/>
        <v>49237.4113</v>
      </c>
      <c r="H71" s="15">
        <f t="shared" si="11"/>
        <v>31659.5</v>
      </c>
      <c r="I71" s="43" t="s">
        <v>196</v>
      </c>
      <c r="J71" s="44" t="s">
        <v>197</v>
      </c>
      <c r="K71" s="43">
        <v>31659.5</v>
      </c>
      <c r="L71" s="43" t="s">
        <v>198</v>
      </c>
      <c r="M71" s="44" t="s">
        <v>192</v>
      </c>
      <c r="N71" s="44" t="s">
        <v>193</v>
      </c>
      <c r="O71" s="45" t="s">
        <v>194</v>
      </c>
      <c r="P71" s="46" t="s">
        <v>195</v>
      </c>
    </row>
    <row r="72" spans="1:16" ht="12.75" customHeight="1" thickBot="1" x14ac:dyDescent="0.25">
      <c r="A72" s="15" t="str">
        <f t="shared" si="6"/>
        <v>OEJV 0074 </v>
      </c>
      <c r="B72" s="2" t="str">
        <f t="shared" si="7"/>
        <v>I</v>
      </c>
      <c r="C72" s="15">
        <f t="shared" si="8"/>
        <v>51705.43</v>
      </c>
      <c r="D72" s="9" t="str">
        <f t="shared" si="9"/>
        <v>vis</v>
      </c>
      <c r="E72" s="42" t="e">
        <f>VLOOKUP(C72,Active!C$21:E$969,3,FALSE)</f>
        <v>#N/A</v>
      </c>
      <c r="F72" s="2" t="s">
        <v>66</v>
      </c>
      <c r="G72" s="9" t="str">
        <f t="shared" si="10"/>
        <v>51705.430</v>
      </c>
      <c r="H72" s="15">
        <f t="shared" si="11"/>
        <v>35356</v>
      </c>
      <c r="I72" s="43" t="s">
        <v>227</v>
      </c>
      <c r="J72" s="44" t="s">
        <v>228</v>
      </c>
      <c r="K72" s="43">
        <v>35356</v>
      </c>
      <c r="L72" s="43" t="s">
        <v>229</v>
      </c>
      <c r="M72" s="44" t="s">
        <v>230</v>
      </c>
      <c r="N72" s="44"/>
      <c r="O72" s="45" t="s">
        <v>231</v>
      </c>
      <c r="P72" s="46" t="s">
        <v>226</v>
      </c>
    </row>
    <row r="73" spans="1:16" ht="12.75" customHeight="1" thickBot="1" x14ac:dyDescent="0.25">
      <c r="A73" s="15" t="str">
        <f t="shared" si="6"/>
        <v>OEJV 0094 </v>
      </c>
      <c r="B73" s="2" t="str">
        <f t="shared" si="7"/>
        <v>II</v>
      </c>
      <c r="C73" s="15">
        <f t="shared" si="8"/>
        <v>54611.409</v>
      </c>
      <c r="D73" s="9" t="str">
        <f t="shared" si="9"/>
        <v>vis</v>
      </c>
      <c r="E73" s="42" t="e">
        <f>VLOOKUP(C73,Active!C$21:E$969,3,FALSE)</f>
        <v>#N/A</v>
      </c>
      <c r="F73" s="2" t="s">
        <v>66</v>
      </c>
      <c r="G73" s="9" t="str">
        <f t="shared" si="10"/>
        <v>54611.4090</v>
      </c>
      <c r="H73" s="15">
        <f t="shared" si="11"/>
        <v>39708.5</v>
      </c>
      <c r="I73" s="43" t="s">
        <v>282</v>
      </c>
      <c r="J73" s="44" t="s">
        <v>283</v>
      </c>
      <c r="K73" s="43" t="s">
        <v>284</v>
      </c>
      <c r="L73" s="43" t="s">
        <v>285</v>
      </c>
      <c r="M73" s="44" t="s">
        <v>224</v>
      </c>
      <c r="N73" s="44" t="s">
        <v>259</v>
      </c>
      <c r="O73" s="45" t="s">
        <v>275</v>
      </c>
      <c r="P73" s="46" t="s">
        <v>286</v>
      </c>
    </row>
    <row r="74" spans="1:16" ht="12.75" customHeight="1" thickBot="1" x14ac:dyDescent="0.25">
      <c r="A74" s="15" t="str">
        <f t="shared" si="6"/>
        <v>OEJV 0094 </v>
      </c>
      <c r="B74" s="2" t="str">
        <f t="shared" si="7"/>
        <v>II</v>
      </c>
      <c r="C74" s="15">
        <f t="shared" si="8"/>
        <v>54611.409</v>
      </c>
      <c r="D74" s="9" t="str">
        <f t="shared" si="9"/>
        <v>vis</v>
      </c>
      <c r="E74" s="42" t="e">
        <f>VLOOKUP(C74,Active!C$21:E$969,3,FALSE)</f>
        <v>#N/A</v>
      </c>
      <c r="F74" s="2" t="s">
        <v>66</v>
      </c>
      <c r="G74" s="9" t="str">
        <f t="shared" si="10"/>
        <v>54611.4090</v>
      </c>
      <c r="H74" s="15">
        <f t="shared" si="11"/>
        <v>39708.5</v>
      </c>
      <c r="I74" s="43" t="s">
        <v>282</v>
      </c>
      <c r="J74" s="44" t="s">
        <v>283</v>
      </c>
      <c r="K74" s="43" t="s">
        <v>284</v>
      </c>
      <c r="L74" s="43" t="s">
        <v>285</v>
      </c>
      <c r="M74" s="44" t="s">
        <v>224</v>
      </c>
      <c r="N74" s="44" t="s">
        <v>37</v>
      </c>
      <c r="O74" s="45" t="s">
        <v>275</v>
      </c>
      <c r="P74" s="46" t="s">
        <v>286</v>
      </c>
    </row>
    <row r="75" spans="1:16" ht="12.75" customHeight="1" thickBot="1" x14ac:dyDescent="0.25">
      <c r="A75" s="15" t="str">
        <f t="shared" si="6"/>
        <v>OEJV 0094 </v>
      </c>
      <c r="B75" s="2" t="str">
        <f t="shared" si="7"/>
        <v>II</v>
      </c>
      <c r="C75" s="15">
        <f t="shared" si="8"/>
        <v>54611.409299999999</v>
      </c>
      <c r="D75" s="9" t="str">
        <f t="shared" si="9"/>
        <v>vis</v>
      </c>
      <c r="E75" s="42" t="e">
        <f>VLOOKUP(C75,Active!C$21:E$969,3,FALSE)</f>
        <v>#N/A</v>
      </c>
      <c r="F75" s="2" t="s">
        <v>66</v>
      </c>
      <c r="G75" s="9" t="str">
        <f t="shared" si="10"/>
        <v>54611.4093</v>
      </c>
      <c r="H75" s="15">
        <f t="shared" si="11"/>
        <v>39708.5</v>
      </c>
      <c r="I75" s="43" t="s">
        <v>287</v>
      </c>
      <c r="J75" s="44" t="s">
        <v>288</v>
      </c>
      <c r="K75" s="43" t="s">
        <v>284</v>
      </c>
      <c r="L75" s="43" t="s">
        <v>289</v>
      </c>
      <c r="M75" s="44" t="s">
        <v>224</v>
      </c>
      <c r="N75" s="44" t="s">
        <v>66</v>
      </c>
      <c r="O75" s="45" t="s">
        <v>275</v>
      </c>
      <c r="P75" s="46" t="s">
        <v>286</v>
      </c>
    </row>
    <row r="76" spans="1:16" ht="12.75" customHeight="1" thickBot="1" x14ac:dyDescent="0.25">
      <c r="A76" s="15" t="str">
        <f t="shared" si="6"/>
        <v>BAVM 203 </v>
      </c>
      <c r="B76" s="2" t="str">
        <f t="shared" si="7"/>
        <v>II</v>
      </c>
      <c r="C76" s="15">
        <f t="shared" si="8"/>
        <v>54697.541299999997</v>
      </c>
      <c r="D76" s="9" t="str">
        <f t="shared" si="9"/>
        <v>vis</v>
      </c>
      <c r="E76" s="42">
        <f>VLOOKUP(C76,Active!C$21:E$969,3,FALSE)</f>
        <v>7578.9923685569129</v>
      </c>
      <c r="F76" s="2" t="s">
        <v>66</v>
      </c>
      <c r="G76" s="9" t="str">
        <f t="shared" si="10"/>
        <v>54697.5413</v>
      </c>
      <c r="H76" s="15">
        <f t="shared" si="11"/>
        <v>39837.5</v>
      </c>
      <c r="I76" s="43" t="s">
        <v>290</v>
      </c>
      <c r="J76" s="44" t="s">
        <v>291</v>
      </c>
      <c r="K76" s="43" t="s">
        <v>292</v>
      </c>
      <c r="L76" s="43" t="s">
        <v>293</v>
      </c>
      <c r="M76" s="44" t="s">
        <v>224</v>
      </c>
      <c r="N76" s="47" t="s">
        <v>264</v>
      </c>
      <c r="O76" s="45" t="s">
        <v>194</v>
      </c>
      <c r="P76" s="46" t="s">
        <v>294</v>
      </c>
    </row>
    <row r="77" spans="1:16" ht="12.75" customHeight="1" thickBot="1" x14ac:dyDescent="0.25">
      <c r="A77" s="15" t="str">
        <f t="shared" si="6"/>
        <v>BAVM 225 </v>
      </c>
      <c r="B77" s="2" t="str">
        <f t="shared" si="7"/>
        <v>I</v>
      </c>
      <c r="C77" s="15">
        <f t="shared" si="8"/>
        <v>55799.5023</v>
      </c>
      <c r="D77" s="9" t="str">
        <f t="shared" si="9"/>
        <v>vis</v>
      </c>
      <c r="E77" s="42">
        <f>VLOOKUP(C77,Active!C$21:E$969,3,FALSE)</f>
        <v>9229.4718268926845</v>
      </c>
      <c r="F77" s="2" t="s">
        <v>66</v>
      </c>
      <c r="G77" s="9" t="str">
        <f t="shared" si="10"/>
        <v>55799.5023</v>
      </c>
      <c r="H77" s="15">
        <f t="shared" si="11"/>
        <v>41488</v>
      </c>
      <c r="I77" s="43" t="s">
        <v>300</v>
      </c>
      <c r="J77" s="44" t="s">
        <v>301</v>
      </c>
      <c r="K77" s="43">
        <v>41488</v>
      </c>
      <c r="L77" s="43" t="s">
        <v>302</v>
      </c>
      <c r="M77" s="44" t="s">
        <v>224</v>
      </c>
      <c r="N77" s="47" t="s">
        <v>264</v>
      </c>
      <c r="O77" s="45" t="s">
        <v>194</v>
      </c>
      <c r="P77" s="46" t="s">
        <v>303</v>
      </c>
    </row>
    <row r="78" spans="1:16" x14ac:dyDescent="0.2">
      <c r="B78" s="2"/>
      <c r="F78" s="2"/>
    </row>
    <row r="79" spans="1:16" x14ac:dyDescent="0.2">
      <c r="B79" s="2"/>
      <c r="F79" s="2"/>
    </row>
    <row r="80" spans="1:1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</sheetData>
  <phoneticPr fontId="8" type="noConversion"/>
  <hyperlinks>
    <hyperlink ref="P70" r:id="rId1" display="http://www.bav-astro.de/sfs/BAVM_link.php?BAVMnr=68"/>
    <hyperlink ref="P71" r:id="rId2" display="http://www.bav-astro.de/sfs/BAVM_link.php?BAVMnr=68"/>
    <hyperlink ref="P11" r:id="rId3" display="http://www.bav-astro.de/sfs/BAVM_link.php?BAVMnr=80"/>
    <hyperlink ref="P12" r:id="rId4" display="http://www.bav-astro.de/sfs/BAVM_link.php?BAVMnr=80"/>
    <hyperlink ref="P14" r:id="rId5" display="http://www.bav-astro.de/sfs/BAVM_link.php?BAVMnr=117"/>
    <hyperlink ref="P15" r:id="rId6" display="http://www.konkoly.hu/cgi-bin/IBVS?5287"/>
    <hyperlink ref="P16" r:id="rId7" display="http://var.astro.cz/oejv/issues/oejv0074.pdf"/>
    <hyperlink ref="P72" r:id="rId8" display="http://var.astro.cz/oejv/issues/oejv0074.pdf"/>
    <hyperlink ref="P17" r:id="rId9" display="http://var.astro.cz/oejv/issues/oejv0074.pdf"/>
    <hyperlink ref="P18" r:id="rId10" display="http://var.astro.cz/oejv/issues/oejv0074.pdf"/>
    <hyperlink ref="P19" r:id="rId11" display="http://var.astro.cz/oejv/issues/oejv0074.pdf"/>
    <hyperlink ref="P20" r:id="rId12" display="http://www.konkoly.hu/cgi-bin/IBVS?5378"/>
    <hyperlink ref="P21" r:id="rId13" display="http://www.bav-astro.de/sfs/BAVM_link.php?BAVMnr=158"/>
    <hyperlink ref="P22" r:id="rId14" display="http://www.bav-astro.de/sfs/BAVM_link.php?BAVMnr=172"/>
    <hyperlink ref="P23" r:id="rId15" display="http://var.astro.cz/oejv/issues/oejv0074.pdf"/>
    <hyperlink ref="P24" r:id="rId16" display="http://www.bav-astro.de/sfs/BAVM_link.php?BAVMnr=186"/>
    <hyperlink ref="P25" r:id="rId17" display="http://www.bav-astro.de/sfs/BAVM_link.php?BAVMnr=186"/>
    <hyperlink ref="P26" r:id="rId18" display="http://var.astro.cz/oejv/issues/oejv0074.pdf"/>
    <hyperlink ref="P27" r:id="rId19" display="http://var.astro.cz/oejv/issues/oejv0074.pdf"/>
    <hyperlink ref="P28" r:id="rId20" display="http://var.astro.cz/oejv/issues/oejv0074.pdf"/>
    <hyperlink ref="P73" r:id="rId21" display="http://var.astro.cz/oejv/issues/oejv0094.pdf"/>
    <hyperlink ref="P74" r:id="rId22" display="http://var.astro.cz/oejv/issues/oejv0094.pdf"/>
    <hyperlink ref="P75" r:id="rId23" display="http://var.astro.cz/oejv/issues/oejv0094.pdf"/>
    <hyperlink ref="P76" r:id="rId24" display="http://www.bav-astro.de/sfs/BAVM_link.php?BAVMnr=203"/>
    <hyperlink ref="P29" r:id="rId25" display="http://www.bav-astro.de/sfs/BAVM_link.php?BAVMnr=220"/>
    <hyperlink ref="P77" r:id="rId26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2024-01-31T04:01:12Z</dcterms:modified>
</cp:coreProperties>
</file>