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17C1917-E0F6-4587-AA40-F3F8C1210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6" i="1"/>
  <c r="F66" i="1" s="1"/>
  <c r="G66" i="1" s="1"/>
  <c r="K66" i="1" s="1"/>
  <c r="Q6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60" i="1"/>
  <c r="Q61" i="1"/>
  <c r="Q63" i="1"/>
  <c r="G17" i="2"/>
  <c r="C17" i="2"/>
  <c r="G53" i="2"/>
  <c r="C53" i="2"/>
  <c r="G16" i="2"/>
  <c r="C16" i="2"/>
  <c r="G52" i="2"/>
  <c r="C52" i="2"/>
  <c r="G51" i="2"/>
  <c r="C51" i="2"/>
  <c r="G15" i="2"/>
  <c r="C15" i="2"/>
  <c r="G14" i="2"/>
  <c r="C14" i="2"/>
  <c r="G13" i="2"/>
  <c r="C13" i="2"/>
  <c r="G12" i="2"/>
  <c r="C12" i="2"/>
  <c r="G11" i="2"/>
  <c r="C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D17" i="2"/>
  <c r="B17" i="2"/>
  <c r="A17" i="2"/>
  <c r="H53" i="2"/>
  <c r="B53" i="2"/>
  <c r="D53" i="2"/>
  <c r="A53" i="2"/>
  <c r="H16" i="2"/>
  <c r="D16" i="2"/>
  <c r="B16" i="2"/>
  <c r="A16" i="2"/>
  <c r="H52" i="2"/>
  <c r="B52" i="2"/>
  <c r="D52" i="2"/>
  <c r="A52" i="2"/>
  <c r="H51" i="2"/>
  <c r="D51" i="2"/>
  <c r="B51" i="2"/>
  <c r="A51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Q64" i="1"/>
  <c r="Q62" i="1"/>
  <c r="F16" i="1"/>
  <c r="F17" i="1" s="1"/>
  <c r="C17" i="1"/>
  <c r="Q57" i="1"/>
  <c r="Q58" i="1"/>
  <c r="Q59" i="1"/>
  <c r="Q55" i="1"/>
  <c r="Q56" i="1"/>
  <c r="C7" i="1"/>
  <c r="E21" i="1"/>
  <c r="F21" i="1"/>
  <c r="C8" i="1"/>
  <c r="Q33" i="1"/>
  <c r="E18" i="2"/>
  <c r="E14" i="2"/>
  <c r="E31" i="2"/>
  <c r="E15" i="2"/>
  <c r="E39" i="2"/>
  <c r="E29" i="2"/>
  <c r="G58" i="1"/>
  <c r="K58" i="1"/>
  <c r="E33" i="1"/>
  <c r="F33" i="1"/>
  <c r="E61" i="1"/>
  <c r="F61" i="1"/>
  <c r="G61" i="1"/>
  <c r="I61" i="1"/>
  <c r="E48" i="1"/>
  <c r="F48" i="1"/>
  <c r="G42" i="1"/>
  <c r="I42" i="1"/>
  <c r="E40" i="1"/>
  <c r="F40" i="1"/>
  <c r="G40" i="1"/>
  <c r="I40" i="1"/>
  <c r="E31" i="1"/>
  <c r="F31" i="1"/>
  <c r="G25" i="1"/>
  <c r="I25" i="1"/>
  <c r="E23" i="1"/>
  <c r="F23" i="1"/>
  <c r="G23" i="1"/>
  <c r="I23" i="1"/>
  <c r="E64" i="1"/>
  <c r="F64" i="1"/>
  <c r="E53" i="1"/>
  <c r="F53" i="1"/>
  <c r="E45" i="1"/>
  <c r="F45" i="1"/>
  <c r="E37" i="1"/>
  <c r="F37" i="1"/>
  <c r="E28" i="1"/>
  <c r="F28" i="1"/>
  <c r="E58" i="1"/>
  <c r="F58" i="1"/>
  <c r="E50" i="1"/>
  <c r="F50" i="1"/>
  <c r="G50" i="1"/>
  <c r="I50" i="1"/>
  <c r="G44" i="1"/>
  <c r="I44" i="1"/>
  <c r="E42" i="1"/>
  <c r="F42" i="1"/>
  <c r="E34" i="1"/>
  <c r="F34" i="1"/>
  <c r="G34" i="1"/>
  <c r="I34" i="1"/>
  <c r="G27" i="1"/>
  <c r="I27" i="1"/>
  <c r="E25" i="1"/>
  <c r="F25" i="1"/>
  <c r="G63" i="1"/>
  <c r="I63" i="1"/>
  <c r="E60" i="1"/>
  <c r="F60" i="1"/>
  <c r="G60" i="1"/>
  <c r="I60" i="1"/>
  <c r="E47" i="1"/>
  <c r="F47" i="1"/>
  <c r="G47" i="1"/>
  <c r="I47" i="1"/>
  <c r="G41" i="1"/>
  <c r="I41" i="1"/>
  <c r="E39" i="1"/>
  <c r="F39" i="1"/>
  <c r="G39" i="1"/>
  <c r="I39" i="1"/>
  <c r="E30" i="1"/>
  <c r="F30" i="1"/>
  <c r="G30" i="1"/>
  <c r="I30" i="1"/>
  <c r="G24" i="1"/>
  <c r="I24" i="1"/>
  <c r="E22" i="1"/>
  <c r="F22" i="1"/>
  <c r="G22" i="1"/>
  <c r="I22" i="1"/>
  <c r="E55" i="1"/>
  <c r="F55" i="1"/>
  <c r="E62" i="1"/>
  <c r="F62" i="1"/>
  <c r="G62" i="1"/>
  <c r="J62" i="1"/>
  <c r="E52" i="1"/>
  <c r="F52" i="1"/>
  <c r="G52" i="1"/>
  <c r="I52" i="1"/>
  <c r="E44" i="1"/>
  <c r="F44" i="1"/>
  <c r="E36" i="1"/>
  <c r="F36" i="1"/>
  <c r="G36" i="1"/>
  <c r="I36" i="1"/>
  <c r="E27" i="1"/>
  <c r="F27" i="1"/>
  <c r="E57" i="1"/>
  <c r="F57" i="1"/>
  <c r="G57" i="1"/>
  <c r="E63" i="1"/>
  <c r="F63" i="1"/>
  <c r="G51" i="1"/>
  <c r="I51" i="1"/>
  <c r="E49" i="1"/>
  <c r="F49" i="1"/>
  <c r="G49" i="1"/>
  <c r="I49" i="1"/>
  <c r="G43" i="1"/>
  <c r="I43" i="1"/>
  <c r="E41" i="1"/>
  <c r="F41" i="1"/>
  <c r="G35" i="1"/>
  <c r="I35" i="1"/>
  <c r="E32" i="1"/>
  <c r="F32" i="1"/>
  <c r="G32" i="1"/>
  <c r="I32" i="1"/>
  <c r="G26" i="1"/>
  <c r="I26" i="1"/>
  <c r="E24" i="1"/>
  <c r="F24" i="1"/>
  <c r="G21" i="1"/>
  <c r="I21" i="1"/>
  <c r="E56" i="1"/>
  <c r="F56" i="1"/>
  <c r="G33" i="1"/>
  <c r="E54" i="1"/>
  <c r="F54" i="1"/>
  <c r="G54" i="1"/>
  <c r="I54" i="1"/>
  <c r="G48" i="1"/>
  <c r="I48" i="1"/>
  <c r="E46" i="1"/>
  <c r="F46" i="1"/>
  <c r="G46" i="1"/>
  <c r="I46" i="1"/>
  <c r="E38" i="1"/>
  <c r="F38" i="1"/>
  <c r="G38" i="1"/>
  <c r="I38" i="1"/>
  <c r="G31" i="1"/>
  <c r="I31" i="1"/>
  <c r="E29" i="1"/>
  <c r="F29" i="1"/>
  <c r="G29" i="1"/>
  <c r="I29" i="1"/>
  <c r="G64" i="1"/>
  <c r="J64" i="1"/>
  <c r="E59" i="1"/>
  <c r="F59" i="1"/>
  <c r="G59" i="1"/>
  <c r="J59" i="1"/>
  <c r="G53" i="1"/>
  <c r="I53" i="1"/>
  <c r="E51" i="1"/>
  <c r="F51" i="1"/>
  <c r="G45" i="1"/>
  <c r="I45" i="1"/>
  <c r="E43" i="1"/>
  <c r="F43" i="1"/>
  <c r="G37" i="1"/>
  <c r="I37" i="1"/>
  <c r="E35" i="1"/>
  <c r="F35" i="1"/>
  <c r="G28" i="1"/>
  <c r="I28" i="1"/>
  <c r="E26" i="1"/>
  <c r="F26" i="1"/>
  <c r="K57" i="1"/>
  <c r="E19" i="2"/>
  <c r="E33" i="2"/>
  <c r="E49" i="2"/>
  <c r="E25" i="2"/>
  <c r="E53" i="2"/>
  <c r="E52" i="2"/>
  <c r="E28" i="2"/>
  <c r="E44" i="2"/>
  <c r="E20" i="2"/>
  <c r="E47" i="2"/>
  <c r="E16" i="2"/>
  <c r="E12" i="2"/>
  <c r="E22" i="2"/>
  <c r="E38" i="2"/>
  <c r="E17" i="2"/>
  <c r="E41" i="2"/>
  <c r="E13" i="2"/>
  <c r="E46" i="2"/>
  <c r="E50" i="2"/>
  <c r="E26" i="2"/>
  <c r="E36" i="2"/>
  <c r="E40" i="2"/>
  <c r="E34" i="2"/>
  <c r="E45" i="2"/>
  <c r="E21" i="2"/>
  <c r="E42" i="2"/>
  <c r="E30" i="2"/>
  <c r="E35" i="2"/>
  <c r="E51" i="2"/>
  <c r="E32" i="2"/>
  <c r="E48" i="2"/>
  <c r="E37" i="2"/>
  <c r="E23" i="2"/>
  <c r="E11" i="2"/>
  <c r="E27" i="2"/>
  <c r="E43" i="2"/>
  <c r="E24" i="2"/>
  <c r="C11" i="1"/>
  <c r="C12" i="1"/>
  <c r="O66" i="1" l="1"/>
  <c r="O65" i="1"/>
  <c r="C16" i="1"/>
  <c r="D18" i="1" s="1"/>
  <c r="O32" i="1"/>
  <c r="O22" i="1"/>
  <c r="O34" i="1"/>
  <c r="O53" i="1"/>
  <c r="O43" i="1"/>
  <c r="O38" i="1"/>
  <c r="O49" i="1"/>
  <c r="O50" i="1"/>
  <c r="O59" i="1"/>
  <c r="O47" i="1"/>
  <c r="O64" i="1"/>
  <c r="O33" i="1"/>
  <c r="O41" i="1"/>
  <c r="O30" i="1"/>
  <c r="O42" i="1"/>
  <c r="O23" i="1"/>
  <c r="O51" i="1"/>
  <c r="O46" i="1"/>
  <c r="O39" i="1"/>
  <c r="O31" i="1"/>
  <c r="O54" i="1"/>
  <c r="O63" i="1"/>
  <c r="O58" i="1"/>
  <c r="O57" i="1"/>
  <c r="O28" i="1"/>
  <c r="O36" i="1"/>
  <c r="O61" i="1"/>
  <c r="O44" i="1"/>
  <c r="O56" i="1"/>
  <c r="O26" i="1"/>
  <c r="O27" i="1"/>
  <c r="O60" i="1"/>
  <c r="O62" i="1"/>
  <c r="O48" i="1"/>
  <c r="C15" i="1"/>
  <c r="O37" i="1"/>
  <c r="O24" i="1"/>
  <c r="O52" i="1"/>
  <c r="O25" i="1"/>
  <c r="O45" i="1"/>
  <c r="O35" i="1"/>
  <c r="O29" i="1"/>
  <c r="O40" i="1"/>
  <c r="O55" i="1"/>
  <c r="O21" i="1"/>
  <c r="F18" i="1" l="1"/>
  <c r="F19" i="1" s="1"/>
  <c r="C18" i="1"/>
</calcChain>
</file>

<file path=xl/sharedStrings.xml><?xml version="1.0" encoding="utf-8"?>
<sst xmlns="http://schemas.openxmlformats.org/spreadsheetml/2006/main" count="497" uniqueCount="218">
  <si>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</si>
  <si>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</si>
  <si>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</si>
  <si>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</si>
  <si>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</si>
  <si>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</si>
  <si>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</si>
  <si>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</si>
  <si>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</si>
  <si>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</si>
  <si>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</si>
  <si>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</si>
  <si>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</si>
  <si>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</si>
  <si>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</si>
  <si>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</si>
  <si>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</si>
  <si>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</si>
  <si>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</si>
  <si>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</si>
  <si>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</si>
  <si>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</si>
  <si>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</si>
  <si>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</si>
  <si>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</si>
  <si>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</si>
  <si>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</si>
  <si>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</si>
  <si>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</si>
  <si>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Bull.98</t>
  </si>
  <si>
    <t>B</t>
  </si>
  <si>
    <t>BBSAG Bull.105</t>
  </si>
  <si>
    <t># of data points: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</si>
  <si>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</si>
  <si>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</si>
  <si>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</si>
  <si>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</si>
  <si>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</si>
  <si>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</si>
  <si>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</si>
  <si>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II</t>
  </si>
  <si>
    <t>I</t>
  </si>
  <si>
    <t>IBVS 5802</t>
  </si>
  <si>
    <t>Add cycle</t>
  </si>
  <si>
    <t>Old Cycle</t>
  </si>
  <si>
    <t>Start of linear fit &gt;&gt;&gt;&gt;&gt;&gt;&gt;&gt;&gt;&gt;&gt;&gt;&gt;&gt;&gt;&gt;&gt;&gt;&gt;&gt;&gt;</t>
  </si>
  <si>
    <t>IBVS 6010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</si>
  <si>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</si>
  <si>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</si>
  <si>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</si>
  <si>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</si>
  <si>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</si>
  <si>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</si>
  <si>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</si>
  <si>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</si>
  <si>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</si>
  <si>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</si>
  <si>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</si>
  <si>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</si>
  <si>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</si>
  <si>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2428775.44 </t>
  </si>
  <si>
    <t> 29.08.1937 22:33 </t>
  </si>
  <si>
    <t> -0.07 </t>
  </si>
  <si>
    <t>P </t>
  </si>
  <si>
    <t> C.Hoffmeister </t>
  </si>
  <si>
    <t> VSS 1.305 </t>
  </si>
  <si>
    <t>2429112.442 </t>
  </si>
  <si>
    <t> 01.08.1938 22:36 </t>
  </si>
  <si>
    <t> -0.087 </t>
  </si>
  <si>
    <t> W.Strohmeier </t>
  </si>
  <si>
    <t> VB 5.12 </t>
  </si>
  <si>
    <t>2429112.464 </t>
  </si>
  <si>
    <t> 01.08.1938 23:08 </t>
  </si>
  <si>
    <t> -0.065 </t>
  </si>
  <si>
    <t>2429163.38 </t>
  </si>
  <si>
    <t> 21.09.1938 21:07 </t>
  </si>
  <si>
    <t>2429231.28 </t>
  </si>
  <si>
    <t> 28.11.1938 18:43 </t>
  </si>
  <si>
    <t> -0.06 </t>
  </si>
  <si>
    <t>2429352.62 </t>
  </si>
  <si>
    <t> 30.03.1939 02:52 </t>
  </si>
  <si>
    <t> 0.05 </t>
  </si>
  <si>
    <t>2429488.40 </t>
  </si>
  <si>
    <t> 12.08.1939 21:36 </t>
  </si>
  <si>
    <t>2429910.31 </t>
  </si>
  <si>
    <t> 07.10.1940 19:26 </t>
  </si>
  <si>
    <t> 0.08 </t>
  </si>
  <si>
    <t>2430145.47 </t>
  </si>
  <si>
    <t> 30.05.1941 23:16 </t>
  </si>
  <si>
    <t>2430465.505 </t>
  </si>
  <si>
    <t> 16.04.1942 00:07 </t>
  </si>
  <si>
    <t> 0.032 </t>
  </si>
  <si>
    <t> H.Huth </t>
  </si>
  <si>
    <t> MVS 308 </t>
  </si>
  <si>
    <t>2433811.509 </t>
  </si>
  <si>
    <t> 14.06.1951 00:12 </t>
  </si>
  <si>
    <t> 0.047 </t>
  </si>
  <si>
    <t>2433891.471 </t>
  </si>
  <si>
    <t> 01.09.1951 23:18 </t>
  </si>
  <si>
    <t> -0.004 </t>
  </si>
  <si>
    <t>2435244.447 </t>
  </si>
  <si>
    <t> 16.05.1955 22:43 </t>
  </si>
  <si>
    <t> 0.028 </t>
  </si>
  <si>
    <t>2435375.413 </t>
  </si>
  <si>
    <t> 24.09.1955 21:54 </t>
  </si>
  <si>
    <t> 0.064 </t>
  </si>
  <si>
    <t>2435455.302 </t>
  </si>
  <si>
    <t> 13.12.1955 19:14 </t>
  </si>
  <si>
    <t> -0.059 </t>
  </si>
  <si>
    <t>2435542.641 </t>
  </si>
  <si>
    <t> 10.03.1956 03:23 </t>
  </si>
  <si>
    <t> -0.007 </t>
  </si>
  <si>
    <t>2436112.428 </t>
  </si>
  <si>
    <t> 30.09.1957 22:16 </t>
  </si>
  <si>
    <t> -0.008 </t>
  </si>
  <si>
    <t> K.Häussler </t>
  </si>
  <si>
    <t> MHAR 1 </t>
  </si>
  <si>
    <t>2436318.460 </t>
  </si>
  <si>
    <t> 24.04.1958 23:02 </t>
  </si>
  <si>
    <t> -0.070 </t>
  </si>
  <si>
    <t>2436820.382 </t>
  </si>
  <si>
    <t> 08.09.1959 21:10 </t>
  </si>
  <si>
    <t> -0.046 </t>
  </si>
  <si>
    <t>2436837.330 </t>
  </si>
  <si>
    <t> 25.09.1959 19:55 </t>
  </si>
  <si>
    <t>2437174.390 </t>
  </si>
  <si>
    <t> 27.08.1960 21:21 </t>
  </si>
  <si>
    <t> -0.034 </t>
  </si>
  <si>
    <t>2437191.358 </t>
  </si>
  <si>
    <t> 13.09.1960 20:35 </t>
  </si>
  <si>
    <t> -0.038 </t>
  </si>
  <si>
    <t>2437191.406 </t>
  </si>
  <si>
    <t> 13.09.1960 21:44 </t>
  </si>
  <si>
    <t> 0.010 </t>
  </si>
  <si>
    <t>2437545.378 </t>
  </si>
  <si>
    <t> 02.09.1961 21:04 </t>
  </si>
  <si>
    <t> -0.014 </t>
  </si>
  <si>
    <t>2437579.378 </t>
  </si>
  <si>
    <t> 06.10.1961 21:04 </t>
  </si>
  <si>
    <t> 0.041 </t>
  </si>
  <si>
    <t>2437877.534 </t>
  </si>
  <si>
    <t> 01.08.1962 00:48 </t>
  </si>
  <si>
    <t> -0.033 </t>
  </si>
  <si>
    <t>2437933.365 </t>
  </si>
  <si>
    <t> 25.09.1962 20:45 </t>
  </si>
  <si>
    <t>2438556.494 </t>
  </si>
  <si>
    <t> 09.06.1964 23:51 </t>
  </si>
  <si>
    <t> 0.031 </t>
  </si>
  <si>
    <t>2438709.294 </t>
  </si>
  <si>
    <t> 09.11.1964 19:03 </t>
  </si>
  <si>
    <t> 0.079 </t>
  </si>
  <si>
    <t>2439007.453 </t>
  </si>
  <si>
    <t> 03.09.1965 22:52 </t>
  </si>
  <si>
    <t> 0.009 </t>
  </si>
  <si>
    <t>2439029.305 </t>
  </si>
  <si>
    <t> 25.09.1965 19:19 </t>
  </si>
  <si>
    <t> 0.039 </t>
  </si>
  <si>
    <t>2439058.341 </t>
  </si>
  <si>
    <t> 24.10.1965 20:11 </t>
  </si>
  <si>
    <t> -0.021 </t>
  </si>
  <si>
    <t>2439087.454 </t>
  </si>
  <si>
    <t> 22.11.1965 22:53 </t>
  </si>
  <si>
    <t>2448480.384 </t>
  </si>
  <si>
    <t> 11.08.1991 21:12 </t>
  </si>
  <si>
    <t> -0.090 </t>
  </si>
  <si>
    <t>V </t>
  </si>
  <si>
    <t> J.Vandenbroere </t>
  </si>
  <si>
    <t> BBS 98 </t>
  </si>
  <si>
    <t>2449200.452 </t>
  </si>
  <si>
    <t> 31.07.1993 22:50 </t>
  </si>
  <si>
    <t> -0.137 </t>
  </si>
  <si>
    <t> BBS 105 </t>
  </si>
  <si>
    <t>2453619.5818 </t>
  </si>
  <si>
    <t> 06.09.2005 01:57 </t>
  </si>
  <si>
    <t> 0.1048 </t>
  </si>
  <si>
    <t>E </t>
  </si>
  <si>
    <t>?</t>
  </si>
  <si>
    <t> Smith &amp; Caton </t>
  </si>
  <si>
    <t>IBVS 5745 </t>
  </si>
  <si>
    <t>2453625.6438 </t>
  </si>
  <si>
    <t> 12.09.2005 03:27 </t>
  </si>
  <si>
    <t> 0.1052 </t>
  </si>
  <si>
    <t>2454241.5050 </t>
  </si>
  <si>
    <t> 21.05.2007 00:07 </t>
  </si>
  <si>
    <t> 0.1104 </t>
  </si>
  <si>
    <t>C </t>
  </si>
  <si>
    <t>-I</t>
  </si>
  <si>
    <t> F.Agerer </t>
  </si>
  <si>
    <t>BAVM 186 </t>
  </si>
  <si>
    <t>2455075.5807 </t>
  </si>
  <si>
    <t> 01.09.2009 01:56 </t>
  </si>
  <si>
    <t>8391</t>
  </si>
  <si>
    <t> 0.1134 </t>
  </si>
  <si>
    <t>BAVM 212 </t>
  </si>
  <si>
    <t>2455075.5885 </t>
  </si>
  <si>
    <t> 01.09.2009 02:07 </t>
  </si>
  <si>
    <t> 0.1212 </t>
  </si>
  <si>
    <t>o</t>
  </si>
  <si>
    <t> U.Schmidt </t>
  </si>
  <si>
    <t>2455691.4400 </t>
  </si>
  <si>
    <t> 09.05.2011 22:33 </t>
  </si>
  <si>
    <t>8645</t>
  </si>
  <si>
    <t> 0.1167 </t>
  </si>
  <si>
    <t>BAVM 220 </t>
  </si>
  <si>
    <t>2455851.4710 </t>
  </si>
  <si>
    <t> 16.10.2011 23:18 </t>
  </si>
  <si>
    <t>8711</t>
  </si>
  <si>
    <t> 0.1221 </t>
  </si>
  <si>
    <t> P.Frank </t>
  </si>
  <si>
    <t>BAVM 225 </t>
  </si>
  <si>
    <t>2456856.4971 </t>
  </si>
  <si>
    <t> 17.07.2014 23:55 </t>
  </si>
  <si>
    <t>9125.5</t>
  </si>
  <si>
    <t> 0.1390 </t>
  </si>
  <si>
    <t>BAVM 239 </t>
  </si>
  <si>
    <t>BAD?</t>
  </si>
  <si>
    <t>JBAV, 60</t>
  </si>
  <si>
    <t>V0512 Cyg / GSC 03582-00560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</si>
</sst>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V0512 Cyg - O-C Diagr.</a:t>
            </a:r>
          </a:p>
        </c:rich>
      </c:tx>
      <c:layout>
        <c:manualLayout>
          <c:xMode val="edge"/>
          <c:yMode val="edge"/>
          <c:x val="0.3408668831650280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4265342266476"/>
          <c:y val="0.14769252958613219"/>
          <c:w val="0.794728391905734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D-410A-8074-E92EAA82E7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-6.5719999998691492E-2</c:v>
                </c:pt>
                <c:pt idx="1">
                  <c:v>-8.728999999948428E-2</c:v>
                </c:pt>
                <c:pt idx="2">
                  <c:v>-6.5289999998640269E-2</c:v>
                </c:pt>
                <c:pt idx="3">
                  <c:v>-6.6519999996671686E-2</c:v>
                </c:pt>
                <c:pt idx="4">
                  <c:v>-5.6160000000090804E-2</c:v>
                </c:pt>
                <c:pt idx="5">
                  <c:v>5.2340000002004672E-2</c:v>
                </c:pt>
                <c:pt idx="6">
                  <c:v>5.3060000005643815E-2</c:v>
                </c:pt>
                <c:pt idx="7">
                  <c:v>7.744000000457163E-2</c:v>
                </c:pt>
                <c:pt idx="8">
                  <c:v>4.8330000005080365E-2</c:v>
                </c:pt>
                <c:pt idx="9">
                  <c:v>3.2170000002224697E-2</c:v>
                </c:pt>
                <c:pt idx="10">
                  <c:v>4.6770000000833534E-2</c:v>
                </c:pt>
                <c:pt idx="11">
                  <c:v>-4.0200000003096648E-3</c:v>
                </c:pt>
                <c:pt idx="13">
                  <c:v>2.8440000001864973E-2</c:v>
                </c:pt>
                <c:pt idx="14">
                  <c:v>6.4420000002428424E-2</c:v>
                </c:pt>
                <c:pt idx="15">
                  <c:v>-5.9369999995396938E-2</c:v>
                </c:pt>
                <c:pt idx="16">
                  <c:v>-7.0499999928870238E-3</c:v>
                </c:pt>
                <c:pt idx="17">
                  <c:v>-8.099999999103602E-3</c:v>
                </c:pt>
                <c:pt idx="18">
                  <c:v>-6.9649999997636769E-2</c:v>
                </c:pt>
                <c:pt idx="19">
                  <c:v>-4.6060000000579748E-2</c:v>
                </c:pt>
                <c:pt idx="20">
                  <c:v>-7.0469999998749699E-2</c:v>
                </c:pt>
                <c:pt idx="21">
                  <c:v>-3.4039999998640269E-2</c:v>
                </c:pt>
                <c:pt idx="22">
                  <c:v>-3.8450000000011642E-2</c:v>
                </c:pt>
                <c:pt idx="23">
                  <c:v>9.5500000024912879E-3</c:v>
                </c:pt>
                <c:pt idx="24">
                  <c:v>-1.4430000002903398E-2</c:v>
                </c:pt>
                <c:pt idx="25">
                  <c:v>4.0750000000116415E-2</c:v>
                </c:pt>
                <c:pt idx="26">
                  <c:v>-3.2739999995101243E-2</c:v>
                </c:pt>
                <c:pt idx="27">
                  <c:v>3.177000000141561E-2</c:v>
                </c:pt>
                <c:pt idx="28">
                  <c:v>3.0859999998938292E-2</c:v>
                </c:pt>
                <c:pt idx="29">
                  <c:v>7.9170000004523899E-2</c:v>
                </c:pt>
                <c:pt idx="30">
                  <c:v>8.6800000062794425E-3</c:v>
                </c:pt>
                <c:pt idx="31">
                  <c:v>3.9010000000416767E-2</c:v>
                </c:pt>
                <c:pt idx="32">
                  <c:v>-2.0549999993818346E-2</c:v>
                </c:pt>
                <c:pt idx="33">
                  <c:v>-3.1099999978323467E-3</c:v>
                </c:pt>
                <c:pt idx="39">
                  <c:v>0.11336999999912223</c:v>
                </c:pt>
                <c:pt idx="40">
                  <c:v>0.12116999999852851</c:v>
                </c:pt>
                <c:pt idx="42">
                  <c:v>0.12207000000489643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D-410A-8074-E92EAA82E7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8">
                  <c:v>0.11038999999436783</c:v>
                </c:pt>
                <c:pt idx="41">
                  <c:v>0.11665000000357395</c:v>
                </c:pt>
                <c:pt idx="43">
                  <c:v>0.13903500000742497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DD-410A-8074-E92EAA82E7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0.10478500000317581</c:v>
                </c:pt>
                <c:pt idx="37">
                  <c:v>0.10521000000153435</c:v>
                </c:pt>
                <c:pt idx="44">
                  <c:v>0.13382999999885214</c:v>
                </c:pt>
                <c:pt idx="45">
                  <c:v>0.13545000000885921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DD-410A-8074-E92EAA82E7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DD-410A-8074-E92EAA82E7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DD-410A-8074-E92EAA82E7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DD-410A-8074-E92EAA82E7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-2.6949182740676036E-2</c:v>
                </c:pt>
                <c:pt idx="1">
                  <c:v>-2.5117740522760543E-2</c:v>
                </c:pt>
                <c:pt idx="2">
                  <c:v>-2.5117740522760543E-2</c:v>
                </c:pt>
                <c:pt idx="3">
                  <c:v>-2.4841047813579063E-2</c:v>
                </c:pt>
                <c:pt idx="4">
                  <c:v>-2.4472124201337094E-2</c:v>
                </c:pt>
                <c:pt idx="5">
                  <c:v>-2.381333203661929E-2</c:v>
                </c:pt>
                <c:pt idx="6">
                  <c:v>-2.3075484812135352E-2</c:v>
                </c:pt>
                <c:pt idx="7">
                  <c:v>-2.07828880789174E-2</c:v>
                </c:pt>
                <c:pt idx="8">
                  <c:v>-1.9504831279364861E-2</c:v>
                </c:pt>
                <c:pt idx="9">
                  <c:v>-1.7765619964509861E-2</c:v>
                </c:pt>
                <c:pt idx="10">
                  <c:v>4.1704378170149842E-4</c:v>
                </c:pt>
                <c:pt idx="11">
                  <c:v>8.5184661041524858E-4</c:v>
                </c:pt>
                <c:pt idx="12">
                  <c:v>5.4106883902624442E-3</c:v>
                </c:pt>
                <c:pt idx="13">
                  <c:v>8.203967168665928E-3</c:v>
                </c:pt>
                <c:pt idx="14">
                  <c:v>8.9154627065611558E-3</c:v>
                </c:pt>
                <c:pt idx="15">
                  <c:v>9.3502655352749042E-3</c:v>
                </c:pt>
                <c:pt idx="16">
                  <c:v>9.8245958938717234E-3</c:v>
                </c:pt>
                <c:pt idx="17">
                  <c:v>1.2920919068045397E-2</c:v>
                </c:pt>
                <c:pt idx="18">
                  <c:v>1.4040865748065663E-2</c:v>
                </c:pt>
                <c:pt idx="19">
                  <c:v>1.6768265309997366E-2</c:v>
                </c:pt>
                <c:pt idx="20">
                  <c:v>1.6860496213057859E-2</c:v>
                </c:pt>
                <c:pt idx="21">
                  <c:v>1.8691938430973352E-2</c:v>
                </c:pt>
                <c:pt idx="22">
                  <c:v>1.8784169334033842E-2</c:v>
                </c:pt>
                <c:pt idx="23">
                  <c:v>1.8784169334033842E-2</c:v>
                </c:pt>
                <c:pt idx="24">
                  <c:v>2.0707842455009826E-2</c:v>
                </c:pt>
                <c:pt idx="25">
                  <c:v>2.0892304261130812E-2</c:v>
                </c:pt>
                <c:pt idx="26">
                  <c:v>2.2512932986336606E-2</c:v>
                </c:pt>
                <c:pt idx="27">
                  <c:v>2.2815977382106795E-2</c:v>
                </c:pt>
                <c:pt idx="28">
                  <c:v>2.6202169108756303E-2</c:v>
                </c:pt>
                <c:pt idx="29">
                  <c:v>2.7032247236300735E-2</c:v>
                </c:pt>
                <c:pt idx="30">
                  <c:v>2.8652875961506528E-2</c:v>
                </c:pt>
                <c:pt idx="31">
                  <c:v>2.8771458551155735E-2</c:v>
                </c:pt>
                <c:pt idx="32">
                  <c:v>2.8929568670688008E-2</c:v>
                </c:pt>
                <c:pt idx="33">
                  <c:v>2.908767879022028E-2</c:v>
                </c:pt>
                <c:pt idx="34">
                  <c:v>8.0130895712555647E-2</c:v>
                </c:pt>
                <c:pt idx="35">
                  <c:v>8.4044121170979397E-2</c:v>
                </c:pt>
                <c:pt idx="36">
                  <c:v>0.10805709557494331</c:v>
                </c:pt>
                <c:pt idx="37">
                  <c:v>0.10809003518317921</c:v>
                </c:pt>
                <c:pt idx="38">
                  <c:v>0.11143669937994564</c:v>
                </c:pt>
                <c:pt idx="39">
                  <c:v>0.11596918947320413</c:v>
                </c:pt>
                <c:pt idx="40">
                  <c:v>0.11596918947320413</c:v>
                </c:pt>
                <c:pt idx="41">
                  <c:v>0.11931585366997056</c:v>
                </c:pt>
                <c:pt idx="42">
                  <c:v>0.12018545932739806</c:v>
                </c:pt>
                <c:pt idx="43">
                  <c:v>0.12564684637290865</c:v>
                </c:pt>
                <c:pt idx="44">
                  <c:v>0.13768297922230288</c:v>
                </c:pt>
                <c:pt idx="45">
                  <c:v>0.1396066523432789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DD-410A-8074-E92EAA82E7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4">
                  <c:v>-8.9729999999690335E-2</c:v>
                </c:pt>
                <c:pt idx="35">
                  <c:v>-0.1368399999992107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DD-410A-8074-E92EAA82E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2920"/>
        <c:axId val="1"/>
      </c:scatterChart>
      <c:valAx>
        <c:axId val="796772920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629199598637727E-2"/>
          <c:y val="0.92000129214617399"/>
          <c:w val="0.905839623154450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V0512 Cyg - O-C Diagr.</a:t>
            </a:r>
          </a:p>
        </c:rich>
      </c:tx>
      <c:layout>
        <c:manualLayout>
          <c:xMode val="edge"/>
          <c:yMode val="edge"/>
          <c:x val="0.340225958597280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6-40B7-B499-769A116161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-6.5719999998691492E-2</c:v>
                </c:pt>
                <c:pt idx="1">
                  <c:v>-8.728999999948428E-2</c:v>
                </c:pt>
                <c:pt idx="2">
                  <c:v>-6.5289999998640269E-2</c:v>
                </c:pt>
                <c:pt idx="3">
                  <c:v>-6.6519999996671686E-2</c:v>
                </c:pt>
                <c:pt idx="4">
                  <c:v>-5.6160000000090804E-2</c:v>
                </c:pt>
                <c:pt idx="5">
                  <c:v>5.2340000002004672E-2</c:v>
                </c:pt>
                <c:pt idx="6">
                  <c:v>5.3060000005643815E-2</c:v>
                </c:pt>
                <c:pt idx="7">
                  <c:v>7.744000000457163E-2</c:v>
                </c:pt>
                <c:pt idx="8">
                  <c:v>4.8330000005080365E-2</c:v>
                </c:pt>
                <c:pt idx="9">
                  <c:v>3.2170000002224697E-2</c:v>
                </c:pt>
                <c:pt idx="10">
                  <c:v>4.6770000000833534E-2</c:v>
                </c:pt>
                <c:pt idx="11">
                  <c:v>-4.0200000003096648E-3</c:v>
                </c:pt>
                <c:pt idx="13">
                  <c:v>2.8440000001864973E-2</c:v>
                </c:pt>
                <c:pt idx="14">
                  <c:v>6.4420000002428424E-2</c:v>
                </c:pt>
                <c:pt idx="15">
                  <c:v>-5.9369999995396938E-2</c:v>
                </c:pt>
                <c:pt idx="16">
                  <c:v>-7.0499999928870238E-3</c:v>
                </c:pt>
                <c:pt idx="17">
                  <c:v>-8.099999999103602E-3</c:v>
                </c:pt>
                <c:pt idx="18">
                  <c:v>-6.9649999997636769E-2</c:v>
                </c:pt>
                <c:pt idx="19">
                  <c:v>-4.6060000000579748E-2</c:v>
                </c:pt>
                <c:pt idx="20">
                  <c:v>-7.0469999998749699E-2</c:v>
                </c:pt>
                <c:pt idx="21">
                  <c:v>-3.4039999998640269E-2</c:v>
                </c:pt>
                <c:pt idx="22">
                  <c:v>-3.8450000000011642E-2</c:v>
                </c:pt>
                <c:pt idx="23">
                  <c:v>9.5500000024912879E-3</c:v>
                </c:pt>
                <c:pt idx="24">
                  <c:v>-1.4430000002903398E-2</c:v>
                </c:pt>
                <c:pt idx="25">
                  <c:v>4.0750000000116415E-2</c:v>
                </c:pt>
                <c:pt idx="26">
                  <c:v>-3.2739999995101243E-2</c:v>
                </c:pt>
                <c:pt idx="27">
                  <c:v>3.177000000141561E-2</c:v>
                </c:pt>
                <c:pt idx="28">
                  <c:v>3.0859999998938292E-2</c:v>
                </c:pt>
                <c:pt idx="29">
                  <c:v>7.9170000004523899E-2</c:v>
                </c:pt>
                <c:pt idx="30">
                  <c:v>8.6800000062794425E-3</c:v>
                </c:pt>
                <c:pt idx="31">
                  <c:v>3.9010000000416767E-2</c:v>
                </c:pt>
                <c:pt idx="32">
                  <c:v>-2.0549999993818346E-2</c:v>
                </c:pt>
                <c:pt idx="33">
                  <c:v>-3.1099999978323467E-3</c:v>
                </c:pt>
                <c:pt idx="39">
                  <c:v>0.11336999999912223</c:v>
                </c:pt>
                <c:pt idx="40">
                  <c:v>0.12116999999852851</c:v>
                </c:pt>
                <c:pt idx="42">
                  <c:v>0.12207000000489643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6-40B7-B499-769A116161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8">
                  <c:v>0.11038999999436783</c:v>
                </c:pt>
                <c:pt idx="41">
                  <c:v>0.11665000000357395</c:v>
                </c:pt>
                <c:pt idx="43">
                  <c:v>0.13903500000742497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6-40B7-B499-769A116161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0.10478500000317581</c:v>
                </c:pt>
                <c:pt idx="37">
                  <c:v>0.10521000000153435</c:v>
                </c:pt>
                <c:pt idx="44">
                  <c:v>0.13382999999885214</c:v>
                </c:pt>
                <c:pt idx="45">
                  <c:v>0.13545000000885921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6-40B7-B499-769A116161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6-40B7-B499-769A116161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56-40B7-B499-769A116161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  <c:pt idx="35">
                    <c:v>1.2E-2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0</c:v>
                  </c:pt>
                  <c:pt idx="43">
                    <c:v>2.3999999999999998E-3</c:v>
                  </c:pt>
                  <c:pt idx="44">
                    <c:v>1.9E-3</c:v>
                  </c:pt>
                  <c:pt idx="4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56-40B7-B499-769A116161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-2.6949182740676036E-2</c:v>
                </c:pt>
                <c:pt idx="1">
                  <c:v>-2.5117740522760543E-2</c:v>
                </c:pt>
                <c:pt idx="2">
                  <c:v>-2.5117740522760543E-2</c:v>
                </c:pt>
                <c:pt idx="3">
                  <c:v>-2.4841047813579063E-2</c:v>
                </c:pt>
                <c:pt idx="4">
                  <c:v>-2.4472124201337094E-2</c:v>
                </c:pt>
                <c:pt idx="5">
                  <c:v>-2.381333203661929E-2</c:v>
                </c:pt>
                <c:pt idx="6">
                  <c:v>-2.3075484812135352E-2</c:v>
                </c:pt>
                <c:pt idx="7">
                  <c:v>-2.07828880789174E-2</c:v>
                </c:pt>
                <c:pt idx="8">
                  <c:v>-1.9504831279364861E-2</c:v>
                </c:pt>
                <c:pt idx="9">
                  <c:v>-1.7765619964509861E-2</c:v>
                </c:pt>
                <c:pt idx="10">
                  <c:v>4.1704378170149842E-4</c:v>
                </c:pt>
                <c:pt idx="11">
                  <c:v>8.5184661041524858E-4</c:v>
                </c:pt>
                <c:pt idx="12">
                  <c:v>5.4106883902624442E-3</c:v>
                </c:pt>
                <c:pt idx="13">
                  <c:v>8.203967168665928E-3</c:v>
                </c:pt>
                <c:pt idx="14">
                  <c:v>8.9154627065611558E-3</c:v>
                </c:pt>
                <c:pt idx="15">
                  <c:v>9.3502655352749042E-3</c:v>
                </c:pt>
                <c:pt idx="16">
                  <c:v>9.8245958938717234E-3</c:v>
                </c:pt>
                <c:pt idx="17">
                  <c:v>1.2920919068045397E-2</c:v>
                </c:pt>
                <c:pt idx="18">
                  <c:v>1.4040865748065663E-2</c:v>
                </c:pt>
                <c:pt idx="19">
                  <c:v>1.6768265309997366E-2</c:v>
                </c:pt>
                <c:pt idx="20">
                  <c:v>1.6860496213057859E-2</c:v>
                </c:pt>
                <c:pt idx="21">
                  <c:v>1.8691938430973352E-2</c:v>
                </c:pt>
                <c:pt idx="22">
                  <c:v>1.8784169334033842E-2</c:v>
                </c:pt>
                <c:pt idx="23">
                  <c:v>1.8784169334033842E-2</c:v>
                </c:pt>
                <c:pt idx="24">
                  <c:v>2.0707842455009826E-2</c:v>
                </c:pt>
                <c:pt idx="25">
                  <c:v>2.0892304261130812E-2</c:v>
                </c:pt>
                <c:pt idx="26">
                  <c:v>2.2512932986336606E-2</c:v>
                </c:pt>
                <c:pt idx="27">
                  <c:v>2.2815977382106795E-2</c:v>
                </c:pt>
                <c:pt idx="28">
                  <c:v>2.6202169108756303E-2</c:v>
                </c:pt>
                <c:pt idx="29">
                  <c:v>2.7032247236300735E-2</c:v>
                </c:pt>
                <c:pt idx="30">
                  <c:v>2.8652875961506528E-2</c:v>
                </c:pt>
                <c:pt idx="31">
                  <c:v>2.8771458551155735E-2</c:v>
                </c:pt>
                <c:pt idx="32">
                  <c:v>2.8929568670688008E-2</c:v>
                </c:pt>
                <c:pt idx="33">
                  <c:v>2.908767879022028E-2</c:v>
                </c:pt>
                <c:pt idx="34">
                  <c:v>8.0130895712555647E-2</c:v>
                </c:pt>
                <c:pt idx="35">
                  <c:v>8.4044121170979397E-2</c:v>
                </c:pt>
                <c:pt idx="36">
                  <c:v>0.10805709557494331</c:v>
                </c:pt>
                <c:pt idx="37">
                  <c:v>0.10809003518317921</c:v>
                </c:pt>
                <c:pt idx="38">
                  <c:v>0.11143669937994564</c:v>
                </c:pt>
                <c:pt idx="39">
                  <c:v>0.11596918947320413</c:v>
                </c:pt>
                <c:pt idx="40">
                  <c:v>0.11596918947320413</c:v>
                </c:pt>
                <c:pt idx="41">
                  <c:v>0.11931585366997056</c:v>
                </c:pt>
                <c:pt idx="42">
                  <c:v>0.12018545932739806</c:v>
                </c:pt>
                <c:pt idx="43">
                  <c:v>0.12564684637290865</c:v>
                </c:pt>
                <c:pt idx="44">
                  <c:v>0.13768297922230288</c:v>
                </c:pt>
                <c:pt idx="45">
                  <c:v>0.1396066523432789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6-40B7-B499-769A116161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-2456</c:v>
                </c:pt>
                <c:pt idx="1">
                  <c:v>-2317</c:v>
                </c:pt>
                <c:pt idx="2">
                  <c:v>-2317</c:v>
                </c:pt>
                <c:pt idx="3">
                  <c:v>-2296</c:v>
                </c:pt>
                <c:pt idx="4">
                  <c:v>-2268</c:v>
                </c:pt>
                <c:pt idx="5">
                  <c:v>-2218</c:v>
                </c:pt>
                <c:pt idx="6">
                  <c:v>-2162</c:v>
                </c:pt>
                <c:pt idx="7">
                  <c:v>-1988</c:v>
                </c:pt>
                <c:pt idx="8">
                  <c:v>-1891</c:v>
                </c:pt>
                <c:pt idx="9">
                  <c:v>-1759</c:v>
                </c:pt>
                <c:pt idx="10">
                  <c:v>-379</c:v>
                </c:pt>
                <c:pt idx="11">
                  <c:v>-346</c:v>
                </c:pt>
                <c:pt idx="12">
                  <c:v>0</c:v>
                </c:pt>
                <c:pt idx="13">
                  <c:v>212</c:v>
                </c:pt>
                <c:pt idx="14">
                  <c:v>266</c:v>
                </c:pt>
                <c:pt idx="15">
                  <c:v>299</c:v>
                </c:pt>
                <c:pt idx="16">
                  <c:v>335</c:v>
                </c:pt>
                <c:pt idx="17">
                  <c:v>570</c:v>
                </c:pt>
                <c:pt idx="18">
                  <c:v>655</c:v>
                </c:pt>
                <c:pt idx="19">
                  <c:v>862</c:v>
                </c:pt>
                <c:pt idx="20">
                  <c:v>869</c:v>
                </c:pt>
                <c:pt idx="21">
                  <c:v>1008</c:v>
                </c:pt>
                <c:pt idx="22">
                  <c:v>1015</c:v>
                </c:pt>
                <c:pt idx="23">
                  <c:v>1015</c:v>
                </c:pt>
                <c:pt idx="24">
                  <c:v>1161</c:v>
                </c:pt>
                <c:pt idx="25">
                  <c:v>1175</c:v>
                </c:pt>
                <c:pt idx="26">
                  <c:v>1298</c:v>
                </c:pt>
                <c:pt idx="27">
                  <c:v>1321</c:v>
                </c:pt>
                <c:pt idx="28">
                  <c:v>1578</c:v>
                </c:pt>
                <c:pt idx="29">
                  <c:v>1641</c:v>
                </c:pt>
                <c:pt idx="30">
                  <c:v>1764</c:v>
                </c:pt>
                <c:pt idx="31">
                  <c:v>1773</c:v>
                </c:pt>
                <c:pt idx="32">
                  <c:v>1785</c:v>
                </c:pt>
                <c:pt idx="33">
                  <c:v>1797</c:v>
                </c:pt>
                <c:pt idx="34">
                  <c:v>5671</c:v>
                </c:pt>
                <c:pt idx="35">
                  <c:v>5968</c:v>
                </c:pt>
                <c:pt idx="36">
                  <c:v>7790.5</c:v>
                </c:pt>
                <c:pt idx="37">
                  <c:v>7793</c:v>
                </c:pt>
                <c:pt idx="38">
                  <c:v>8047</c:v>
                </c:pt>
                <c:pt idx="39">
                  <c:v>8391</c:v>
                </c:pt>
                <c:pt idx="40">
                  <c:v>8391</c:v>
                </c:pt>
                <c:pt idx="41">
                  <c:v>8645</c:v>
                </c:pt>
                <c:pt idx="42">
                  <c:v>8711</c:v>
                </c:pt>
                <c:pt idx="43">
                  <c:v>9125.5</c:v>
                </c:pt>
                <c:pt idx="44">
                  <c:v>10039</c:v>
                </c:pt>
                <c:pt idx="45">
                  <c:v>10185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4">
                  <c:v>-8.9729999999690335E-2</c:v>
                </c:pt>
                <c:pt idx="35">
                  <c:v>-0.1368399999992107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56-40B7-B499-769A11616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7672"/>
        <c:axId val="1"/>
      </c:scatterChart>
      <c:valAx>
        <c:axId val="79676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34586466165413E-2"/>
          <c:y val="0.92024539877300615"/>
          <c:w val="0.9041361277208769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247650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6FBD13B-6FCE-DF4E-0931-D63B2967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19049</xdr:rowOff>
    </xdr:from>
    <xdr:to>
      <xdr:col>27</xdr:col>
      <xdr:colOff>0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9C4309F-3FA7-130A-3D24-FD6D7E97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01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217</v>
      </c>
    </row>
    <row r="2" spans="1:6" x14ac:dyDescent="0.2">
      <c r="A2" t="s">
        <v>24</v>
      </c>
      <c r="B2" s="10" t="s">
        <v>33</v>
      </c>
    </row>
    <row r="4" spans="1:6" ht="14.25" thickTop="1" thickBot="1" x14ac:dyDescent="0.25">
      <c r="A4" s="6" t="s">
        <v>0</v>
      </c>
      <c r="C4" s="3">
        <v>34730.396999999997</v>
      </c>
      <c r="D4" s="4">
        <v>2.4246300000000001</v>
      </c>
    </row>
    <row r="5" spans="1:6" ht="13.5" thickTop="1" x14ac:dyDescent="0.2">
      <c r="A5" s="12" t="s">
        <v>34</v>
      </c>
      <c r="B5" s="13"/>
      <c r="C5" s="14">
        <v>-9.5</v>
      </c>
      <c r="D5" s="13" t="s">
        <v>35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34730.396999999997</v>
      </c>
    </row>
    <row r="8" spans="1:6" x14ac:dyDescent="0.2">
      <c r="A8" t="s">
        <v>3</v>
      </c>
      <c r="C8">
        <f>+D4</f>
        <v>2.4246300000000001</v>
      </c>
    </row>
    <row r="9" spans="1:6" x14ac:dyDescent="0.2">
      <c r="A9" s="31" t="s">
        <v>45</v>
      </c>
      <c r="B9" s="32">
        <v>57</v>
      </c>
      <c r="C9" s="29" t="str">
        <f>"F"&amp;B9</f>
        <v>F57</v>
      </c>
      <c r="D9" s="30" t="str">
        <f>"G"&amp;B9</f>
        <v>G57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28">
        <f ca="1">INTERCEPT(INDIRECT($D$9):G992,INDIRECT($C$9):F992)</f>
        <v>5.4106883902624442E-3</v>
      </c>
      <c r="D11" s="15"/>
      <c r="E11" s="13"/>
    </row>
    <row r="12" spans="1:6" x14ac:dyDescent="0.2">
      <c r="A12" s="13" t="s">
        <v>17</v>
      </c>
      <c r="B12" s="13"/>
      <c r="C12" s="28">
        <f ca="1">SLOPE(INDIRECT($D$9):G992,INDIRECT($C$9):F992)</f>
        <v>1.3175843294356058E-5</v>
      </c>
      <c r="D12" s="15"/>
      <c r="E12" s="13"/>
    </row>
    <row r="13" spans="1:6" x14ac:dyDescent="0.2">
      <c r="A13" s="13" t="s">
        <v>19</v>
      </c>
      <c r="B13" s="13"/>
      <c r="C13" s="15" t="s">
        <v>14</v>
      </c>
    </row>
    <row r="14" spans="1:6" x14ac:dyDescent="0.2">
      <c r="A14" s="13"/>
      <c r="B14" s="13"/>
      <c r="C14" s="13"/>
    </row>
    <row r="15" spans="1:6" x14ac:dyDescent="0.2">
      <c r="A15" s="16" t="s">
        <v>18</v>
      </c>
      <c r="B15" s="13"/>
      <c r="C15" s="17">
        <f ca="1">(C7+C11)+(C8+C12)*INT(MAX(F21:F3533))</f>
        <v>59425.393156652339</v>
      </c>
      <c r="E15" s="18" t="s">
        <v>43</v>
      </c>
      <c r="F15" s="14">
        <v>1</v>
      </c>
    </row>
    <row r="16" spans="1:6" x14ac:dyDescent="0.2">
      <c r="A16" s="20" t="s">
        <v>4</v>
      </c>
      <c r="B16" s="13"/>
      <c r="C16" s="21">
        <f ca="1">+C8+C12</f>
        <v>2.4246431758432943</v>
      </c>
      <c r="E16" s="18" t="s">
        <v>36</v>
      </c>
      <c r="F16" s="19">
        <f ca="1">NOW()+15018.5+$C$5/24</f>
        <v>60340.711576388887</v>
      </c>
    </row>
    <row r="17" spans="1:21" ht="13.5" thickBot="1" x14ac:dyDescent="0.25">
      <c r="A17" s="18" t="s">
        <v>32</v>
      </c>
      <c r="B17" s="13"/>
      <c r="C17" s="13">
        <f>COUNT(C21:C2191)</f>
        <v>46</v>
      </c>
      <c r="E17" s="18" t="s">
        <v>44</v>
      </c>
      <c r="F17" s="19">
        <f ca="1">ROUND(2*(F16-$C$7)/$C$8,0)/2+F15</f>
        <v>10563.5</v>
      </c>
    </row>
    <row r="18" spans="1:21" ht="14.25" thickTop="1" thickBot="1" x14ac:dyDescent="0.25">
      <c r="A18" s="20" t="s">
        <v>5</v>
      </c>
      <c r="B18" s="13"/>
      <c r="C18" s="23">
        <f ca="1">+C15</f>
        <v>59425.393156652339</v>
      </c>
      <c r="D18" s="24">
        <f ca="1">+C16</f>
        <v>2.4246431758432943</v>
      </c>
      <c r="E18" s="18" t="s">
        <v>37</v>
      </c>
      <c r="F18" s="30">
        <f ca="1">ROUND(2*(F16-$C$15)/$C$16,0)/2+F15</f>
        <v>378.5</v>
      </c>
    </row>
    <row r="19" spans="1:21" ht="13.5" thickTop="1" x14ac:dyDescent="0.2">
      <c r="E19" s="18" t="s">
        <v>38</v>
      </c>
      <c r="F19" s="22">
        <f ca="1">+$C$15+$C$16*F18-15018.5-$C$5/24</f>
        <v>45325.016432042365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55</v>
      </c>
      <c r="I20" s="8" t="s">
        <v>58</v>
      </c>
      <c r="J20" s="8" t="s">
        <v>52</v>
      </c>
      <c r="K20" s="8" t="s">
        <v>50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2" t="s">
        <v>215</v>
      </c>
    </row>
    <row r="21" spans="1:21" x14ac:dyDescent="0.2">
      <c r="A21" s="50" t="s">
        <v>65</v>
      </c>
      <c r="B21" s="51" t="s">
        <v>41</v>
      </c>
      <c r="C21" s="50">
        <v>28775.439999999999</v>
      </c>
      <c r="D21" s="50" t="s">
        <v>58</v>
      </c>
      <c r="E21">
        <f t="shared" ref="E21:E64" si="0">+(C21-C$7)/C$8</f>
        <v>-2456.0271051665609</v>
      </c>
      <c r="F21">
        <f t="shared" ref="F21:F64" si="1">ROUND(2*E21,0)/2</f>
        <v>-2456</v>
      </c>
      <c r="G21">
        <f t="shared" ref="G21:G54" si="2">+C21-(C$7+F21*C$8)</f>
        <v>-6.5719999998691492E-2</v>
      </c>
      <c r="I21">
        <f t="shared" ref="I21:I32" si="3">+G21</f>
        <v>-6.5719999998691492E-2</v>
      </c>
      <c r="O21">
        <f t="shared" ref="O21:O64" ca="1" si="4">+C$11+C$12*F21</f>
        <v>-2.6949182740676036E-2</v>
      </c>
      <c r="Q21" s="2">
        <f t="shared" ref="Q21:Q64" si="5">+C21-15018.5</f>
        <v>13756.939999999999</v>
      </c>
    </row>
    <row r="22" spans="1:21" x14ac:dyDescent="0.2">
      <c r="A22" s="50" t="s">
        <v>70</v>
      </c>
      <c r="B22" s="51" t="s">
        <v>41</v>
      </c>
      <c r="C22" s="50">
        <v>29112.441999999999</v>
      </c>
      <c r="D22" s="50" t="s">
        <v>58</v>
      </c>
      <c r="E22">
        <f t="shared" si="0"/>
        <v>-2317.0360013692803</v>
      </c>
      <c r="F22">
        <f t="shared" si="1"/>
        <v>-2317</v>
      </c>
      <c r="G22">
        <f t="shared" si="2"/>
        <v>-8.728999999948428E-2</v>
      </c>
      <c r="I22">
        <f t="shared" si="3"/>
        <v>-8.728999999948428E-2</v>
      </c>
      <c r="O22">
        <f t="shared" ca="1" si="4"/>
        <v>-2.5117740522760543E-2</v>
      </c>
      <c r="Q22" s="2">
        <f t="shared" si="5"/>
        <v>14093.941999999999</v>
      </c>
    </row>
    <row r="23" spans="1:21" x14ac:dyDescent="0.2">
      <c r="A23" s="50" t="s">
        <v>70</v>
      </c>
      <c r="B23" s="51" t="s">
        <v>41</v>
      </c>
      <c r="C23" s="50">
        <v>29112.464</v>
      </c>
      <c r="D23" s="50" t="s">
        <v>58</v>
      </c>
      <c r="E23">
        <f t="shared" si="0"/>
        <v>-2317.0269278199135</v>
      </c>
      <c r="F23">
        <f t="shared" si="1"/>
        <v>-2317</v>
      </c>
      <c r="G23">
        <f t="shared" si="2"/>
        <v>-6.5289999998640269E-2</v>
      </c>
      <c r="I23">
        <f t="shared" si="3"/>
        <v>-6.5289999998640269E-2</v>
      </c>
      <c r="O23">
        <f t="shared" ca="1" si="4"/>
        <v>-2.5117740522760543E-2</v>
      </c>
      <c r="Q23" s="2">
        <f t="shared" si="5"/>
        <v>14093.964</v>
      </c>
    </row>
    <row r="24" spans="1:21" x14ac:dyDescent="0.2">
      <c r="A24" s="50" t="s">
        <v>65</v>
      </c>
      <c r="B24" s="51" t="s">
        <v>41</v>
      </c>
      <c r="C24" s="50">
        <v>29163.38</v>
      </c>
      <c r="D24" s="50" t="s">
        <v>58</v>
      </c>
      <c r="E24">
        <f t="shared" si="0"/>
        <v>-2296.0274351138096</v>
      </c>
      <c r="F24">
        <f t="shared" si="1"/>
        <v>-2296</v>
      </c>
      <c r="G24">
        <f t="shared" si="2"/>
        <v>-6.6519999996671686E-2</v>
      </c>
      <c r="I24">
        <f t="shared" si="3"/>
        <v>-6.6519999996671686E-2</v>
      </c>
      <c r="O24">
        <f t="shared" ca="1" si="4"/>
        <v>-2.4841047813579063E-2</v>
      </c>
      <c r="Q24" s="2">
        <f t="shared" si="5"/>
        <v>14144.880000000001</v>
      </c>
    </row>
    <row r="25" spans="1:21" x14ac:dyDescent="0.2">
      <c r="A25" s="50" t="s">
        <v>65</v>
      </c>
      <c r="B25" s="51" t="s">
        <v>41</v>
      </c>
      <c r="C25" s="50">
        <v>29231.279999999999</v>
      </c>
      <c r="D25" s="50" t="s">
        <v>58</v>
      </c>
      <c r="E25">
        <f t="shared" si="0"/>
        <v>-2268.0231622969272</v>
      </c>
      <c r="F25">
        <f t="shared" si="1"/>
        <v>-2268</v>
      </c>
      <c r="G25">
        <f t="shared" si="2"/>
        <v>-5.6160000000090804E-2</v>
      </c>
      <c r="I25">
        <f t="shared" si="3"/>
        <v>-5.6160000000090804E-2</v>
      </c>
      <c r="O25">
        <f t="shared" ca="1" si="4"/>
        <v>-2.4472124201337094E-2</v>
      </c>
      <c r="Q25" s="2">
        <f t="shared" si="5"/>
        <v>14212.779999999999</v>
      </c>
    </row>
    <row r="26" spans="1:21" x14ac:dyDescent="0.2">
      <c r="A26" s="50" t="s">
        <v>65</v>
      </c>
      <c r="B26" s="51" t="s">
        <v>41</v>
      </c>
      <c r="C26" s="50">
        <v>29352.62</v>
      </c>
      <c r="D26" s="50" t="s">
        <v>58</v>
      </c>
      <c r="E26">
        <f t="shared" si="0"/>
        <v>-2217.9784132011887</v>
      </c>
      <c r="F26">
        <f t="shared" si="1"/>
        <v>-2218</v>
      </c>
      <c r="G26">
        <f t="shared" si="2"/>
        <v>5.2340000002004672E-2</v>
      </c>
      <c r="I26">
        <f t="shared" si="3"/>
        <v>5.2340000002004672E-2</v>
      </c>
      <c r="O26">
        <f t="shared" ca="1" si="4"/>
        <v>-2.381333203661929E-2</v>
      </c>
      <c r="Q26" s="2">
        <f t="shared" si="5"/>
        <v>14334.119999999999</v>
      </c>
    </row>
    <row r="27" spans="1:21" x14ac:dyDescent="0.2">
      <c r="A27" s="50" t="s">
        <v>65</v>
      </c>
      <c r="B27" s="51" t="s">
        <v>41</v>
      </c>
      <c r="C27" s="50">
        <v>29488.400000000001</v>
      </c>
      <c r="D27" s="50" t="s">
        <v>58</v>
      </c>
      <c r="E27">
        <f t="shared" si="0"/>
        <v>-2161.9781162486629</v>
      </c>
      <c r="F27">
        <f t="shared" si="1"/>
        <v>-2162</v>
      </c>
      <c r="G27">
        <f t="shared" si="2"/>
        <v>5.3060000005643815E-2</v>
      </c>
      <c r="I27">
        <f t="shared" si="3"/>
        <v>5.3060000005643815E-2</v>
      </c>
      <c r="O27">
        <f t="shared" ca="1" si="4"/>
        <v>-2.3075484812135352E-2</v>
      </c>
      <c r="Q27" s="2">
        <f t="shared" si="5"/>
        <v>14469.900000000001</v>
      </c>
    </row>
    <row r="28" spans="1:21" x14ac:dyDescent="0.2">
      <c r="A28" s="50" t="s">
        <v>65</v>
      </c>
      <c r="B28" s="51" t="s">
        <v>41</v>
      </c>
      <c r="C28" s="50">
        <v>29910.31</v>
      </c>
      <c r="D28" s="50" t="s">
        <v>58</v>
      </c>
      <c r="E28">
        <f t="shared" si="0"/>
        <v>-1987.9680611062288</v>
      </c>
      <c r="F28">
        <f t="shared" si="1"/>
        <v>-1988</v>
      </c>
      <c r="G28">
        <f t="shared" si="2"/>
        <v>7.744000000457163E-2</v>
      </c>
      <c r="I28">
        <f t="shared" si="3"/>
        <v>7.744000000457163E-2</v>
      </c>
      <c r="O28">
        <f t="shared" ca="1" si="4"/>
        <v>-2.07828880789174E-2</v>
      </c>
      <c r="Q28" s="2">
        <f t="shared" si="5"/>
        <v>14891.810000000001</v>
      </c>
    </row>
    <row r="29" spans="1:21" x14ac:dyDescent="0.2">
      <c r="A29" s="50" t="s">
        <v>65</v>
      </c>
      <c r="B29" s="51" t="s">
        <v>41</v>
      </c>
      <c r="C29" s="50">
        <v>30145.47</v>
      </c>
      <c r="D29" s="50" t="s">
        <v>58</v>
      </c>
      <c r="E29">
        <f t="shared" si="0"/>
        <v>-1890.9800670617767</v>
      </c>
      <c r="F29">
        <f t="shared" si="1"/>
        <v>-1891</v>
      </c>
      <c r="G29">
        <f t="shared" si="2"/>
        <v>4.8330000005080365E-2</v>
      </c>
      <c r="I29">
        <f t="shared" si="3"/>
        <v>4.8330000005080365E-2</v>
      </c>
      <c r="O29">
        <f t="shared" ca="1" si="4"/>
        <v>-1.9504831279364861E-2</v>
      </c>
      <c r="Q29" s="2">
        <f t="shared" si="5"/>
        <v>15126.970000000001</v>
      </c>
    </row>
    <row r="30" spans="1:21" x14ac:dyDescent="0.2">
      <c r="A30" s="50" t="s">
        <v>93</v>
      </c>
      <c r="B30" s="51" t="s">
        <v>41</v>
      </c>
      <c r="C30" s="50">
        <v>30465.505000000001</v>
      </c>
      <c r="D30" s="50" t="s">
        <v>58</v>
      </c>
      <c r="E30">
        <f t="shared" si="0"/>
        <v>-1758.9867319962204</v>
      </c>
      <c r="F30">
        <f t="shared" si="1"/>
        <v>-1759</v>
      </c>
      <c r="G30">
        <f t="shared" si="2"/>
        <v>3.2170000002224697E-2</v>
      </c>
      <c r="I30">
        <f t="shared" si="3"/>
        <v>3.2170000002224697E-2</v>
      </c>
      <c r="O30">
        <f t="shared" ca="1" si="4"/>
        <v>-1.7765619964509861E-2</v>
      </c>
      <c r="Q30" s="2">
        <f t="shared" si="5"/>
        <v>15447.005000000001</v>
      </c>
    </row>
    <row r="31" spans="1:21" x14ac:dyDescent="0.2">
      <c r="A31" s="50" t="s">
        <v>93</v>
      </c>
      <c r="B31" s="51" t="s">
        <v>41</v>
      </c>
      <c r="C31" s="50">
        <v>33811.508999999998</v>
      </c>
      <c r="D31" s="50" t="s">
        <v>58</v>
      </c>
      <c r="E31">
        <f t="shared" si="0"/>
        <v>-378.98071045891498</v>
      </c>
      <c r="F31">
        <f t="shared" si="1"/>
        <v>-379</v>
      </c>
      <c r="G31">
        <f t="shared" si="2"/>
        <v>4.6770000000833534E-2</v>
      </c>
      <c r="I31">
        <f t="shared" si="3"/>
        <v>4.6770000000833534E-2</v>
      </c>
      <c r="O31">
        <f t="shared" ca="1" si="4"/>
        <v>4.1704378170149842E-4</v>
      </c>
      <c r="Q31" s="2">
        <f t="shared" si="5"/>
        <v>18793.008999999998</v>
      </c>
    </row>
    <row r="32" spans="1:21" x14ac:dyDescent="0.2">
      <c r="A32" s="50" t="s">
        <v>93</v>
      </c>
      <c r="B32" s="51" t="s">
        <v>41</v>
      </c>
      <c r="C32" s="50">
        <v>33891.470999999998</v>
      </c>
      <c r="D32" s="50" t="s">
        <v>58</v>
      </c>
      <c r="E32">
        <f t="shared" si="0"/>
        <v>-346.00165798492941</v>
      </c>
      <c r="F32">
        <f t="shared" si="1"/>
        <v>-346</v>
      </c>
      <c r="G32">
        <f t="shared" si="2"/>
        <v>-4.0200000003096648E-3</v>
      </c>
      <c r="I32">
        <f t="shared" si="3"/>
        <v>-4.0200000003096648E-3</v>
      </c>
      <c r="O32">
        <f t="shared" ca="1" si="4"/>
        <v>8.5184661041524858E-4</v>
      </c>
      <c r="Q32" s="2">
        <f t="shared" si="5"/>
        <v>18872.970999999998</v>
      </c>
    </row>
    <row r="33" spans="1:31" x14ac:dyDescent="0.2">
      <c r="A33" t="s">
        <v>12</v>
      </c>
      <c r="B33" s="15"/>
      <c r="C33" s="11">
        <v>34730.396999999997</v>
      </c>
      <c r="D33" s="11" t="s">
        <v>14</v>
      </c>
      <c r="E33">
        <f t="shared" si="0"/>
        <v>0</v>
      </c>
      <c r="F33">
        <f t="shared" si="1"/>
        <v>0</v>
      </c>
      <c r="G33">
        <f t="shared" si="2"/>
        <v>0</v>
      </c>
      <c r="H33">
        <v>0</v>
      </c>
      <c r="O33">
        <f t="shared" ca="1" si="4"/>
        <v>5.4106883902624442E-3</v>
      </c>
      <c r="Q33" s="2">
        <f t="shared" si="5"/>
        <v>19711.896999999997</v>
      </c>
      <c r="AA33">
        <v>12</v>
      </c>
      <c r="AC33" t="s">
        <v>28</v>
      </c>
      <c r="AE33" t="s">
        <v>30</v>
      </c>
    </row>
    <row r="34" spans="1:31" x14ac:dyDescent="0.2">
      <c r="A34" s="50" t="s">
        <v>93</v>
      </c>
      <c r="B34" s="51" t="s">
        <v>41</v>
      </c>
      <c r="C34" s="50">
        <v>35244.447</v>
      </c>
      <c r="D34" s="50" t="s">
        <v>58</v>
      </c>
      <c r="E34">
        <f t="shared" si="0"/>
        <v>212.01172962472745</v>
      </c>
      <c r="F34">
        <f t="shared" si="1"/>
        <v>212</v>
      </c>
      <c r="G34">
        <f t="shared" si="2"/>
        <v>2.8440000001864973E-2</v>
      </c>
      <c r="I34">
        <f t="shared" ref="I34:I54" si="6">+G34</f>
        <v>2.8440000001864973E-2</v>
      </c>
      <c r="O34">
        <f t="shared" ca="1" si="4"/>
        <v>8.203967168665928E-3</v>
      </c>
      <c r="Q34" s="2">
        <f t="shared" si="5"/>
        <v>20225.947</v>
      </c>
    </row>
    <row r="35" spans="1:31" x14ac:dyDescent="0.2">
      <c r="A35" s="50" t="s">
        <v>93</v>
      </c>
      <c r="B35" s="51" t="s">
        <v>41</v>
      </c>
      <c r="C35" s="50">
        <v>35375.413</v>
      </c>
      <c r="D35" s="50" t="s">
        <v>58</v>
      </c>
      <c r="E35">
        <f t="shared" si="0"/>
        <v>266.02656900228209</v>
      </c>
      <c r="F35">
        <f t="shared" si="1"/>
        <v>266</v>
      </c>
      <c r="G35">
        <f t="shared" si="2"/>
        <v>6.4420000002428424E-2</v>
      </c>
      <c r="I35">
        <f t="shared" si="6"/>
        <v>6.4420000002428424E-2</v>
      </c>
      <c r="O35">
        <f t="shared" ca="1" si="4"/>
        <v>8.9154627065611558E-3</v>
      </c>
      <c r="Q35" s="2">
        <f t="shared" si="5"/>
        <v>20356.913</v>
      </c>
    </row>
    <row r="36" spans="1:31" x14ac:dyDescent="0.2">
      <c r="A36" s="50" t="s">
        <v>93</v>
      </c>
      <c r="B36" s="51" t="s">
        <v>41</v>
      </c>
      <c r="C36" s="50">
        <v>35455.302000000003</v>
      </c>
      <c r="D36" s="50" t="s">
        <v>58</v>
      </c>
      <c r="E36">
        <f t="shared" si="0"/>
        <v>298.97551378973537</v>
      </c>
      <c r="F36">
        <f t="shared" si="1"/>
        <v>299</v>
      </c>
      <c r="G36">
        <f t="shared" si="2"/>
        <v>-5.9369999995396938E-2</v>
      </c>
      <c r="I36">
        <f t="shared" si="6"/>
        <v>-5.9369999995396938E-2</v>
      </c>
      <c r="O36">
        <f t="shared" ca="1" si="4"/>
        <v>9.3502655352749042E-3</v>
      </c>
      <c r="Q36" s="2">
        <f t="shared" si="5"/>
        <v>20436.802000000003</v>
      </c>
    </row>
    <row r="37" spans="1:31" x14ac:dyDescent="0.2">
      <c r="A37" s="50" t="s">
        <v>93</v>
      </c>
      <c r="B37" s="51" t="s">
        <v>41</v>
      </c>
      <c r="C37" s="50">
        <v>35542.641000000003</v>
      </c>
      <c r="D37" s="50" t="s">
        <v>58</v>
      </c>
      <c r="E37">
        <f t="shared" si="0"/>
        <v>334.99709233986465</v>
      </c>
      <c r="F37">
        <f t="shared" si="1"/>
        <v>335</v>
      </c>
      <c r="G37">
        <f t="shared" si="2"/>
        <v>-7.0499999928870238E-3</v>
      </c>
      <c r="I37">
        <f t="shared" si="6"/>
        <v>-7.0499999928870238E-3</v>
      </c>
      <c r="O37">
        <f t="shared" ca="1" si="4"/>
        <v>9.8245958938717234E-3</v>
      </c>
      <c r="Q37" s="2">
        <f t="shared" si="5"/>
        <v>20524.141000000003</v>
      </c>
    </row>
    <row r="38" spans="1:31" x14ac:dyDescent="0.2">
      <c r="A38" s="50" t="s">
        <v>116</v>
      </c>
      <c r="B38" s="51" t="s">
        <v>41</v>
      </c>
      <c r="C38" s="50">
        <v>36112.428</v>
      </c>
      <c r="D38" s="50" t="s">
        <v>58</v>
      </c>
      <c r="E38">
        <f t="shared" si="0"/>
        <v>569.99665928409809</v>
      </c>
      <c r="F38">
        <f t="shared" si="1"/>
        <v>570</v>
      </c>
      <c r="G38">
        <f t="shared" si="2"/>
        <v>-8.099999999103602E-3</v>
      </c>
      <c r="I38">
        <f t="shared" si="6"/>
        <v>-8.099999999103602E-3</v>
      </c>
      <c r="O38">
        <f t="shared" ca="1" si="4"/>
        <v>1.2920919068045397E-2</v>
      </c>
      <c r="Q38" s="2">
        <f t="shared" si="5"/>
        <v>21093.928</v>
      </c>
    </row>
    <row r="39" spans="1:31" x14ac:dyDescent="0.2">
      <c r="A39" s="50" t="s">
        <v>93</v>
      </c>
      <c r="B39" s="51" t="s">
        <v>41</v>
      </c>
      <c r="C39" s="50">
        <v>36318.46</v>
      </c>
      <c r="D39" s="50" t="s">
        <v>58</v>
      </c>
      <c r="E39">
        <f t="shared" si="0"/>
        <v>654.97127396757526</v>
      </c>
      <c r="F39">
        <f t="shared" si="1"/>
        <v>655</v>
      </c>
      <c r="G39">
        <f t="shared" si="2"/>
        <v>-6.9649999997636769E-2</v>
      </c>
      <c r="I39">
        <f t="shared" si="6"/>
        <v>-6.9649999997636769E-2</v>
      </c>
      <c r="O39">
        <f t="shared" ca="1" si="4"/>
        <v>1.4040865748065663E-2</v>
      </c>
      <c r="Q39" s="2">
        <f t="shared" si="5"/>
        <v>21299.96</v>
      </c>
    </row>
    <row r="40" spans="1:31" x14ac:dyDescent="0.2">
      <c r="A40" s="50" t="s">
        <v>70</v>
      </c>
      <c r="B40" s="51" t="s">
        <v>41</v>
      </c>
      <c r="C40" s="50">
        <v>36820.381999999998</v>
      </c>
      <c r="D40" s="50" t="s">
        <v>58</v>
      </c>
      <c r="E40">
        <f t="shared" si="0"/>
        <v>861.98100328709972</v>
      </c>
      <c r="F40">
        <f t="shared" si="1"/>
        <v>862</v>
      </c>
      <c r="G40">
        <f t="shared" si="2"/>
        <v>-4.6060000000579748E-2</v>
      </c>
      <c r="I40">
        <f t="shared" si="6"/>
        <v>-4.6060000000579748E-2</v>
      </c>
      <c r="O40">
        <f t="shared" ca="1" si="4"/>
        <v>1.6768265309997366E-2</v>
      </c>
      <c r="Q40" s="2">
        <f t="shared" si="5"/>
        <v>21801.881999999998</v>
      </c>
    </row>
    <row r="41" spans="1:31" x14ac:dyDescent="0.2">
      <c r="A41" s="50" t="s">
        <v>70</v>
      </c>
      <c r="B41" s="51" t="s">
        <v>41</v>
      </c>
      <c r="C41" s="50">
        <v>36837.33</v>
      </c>
      <c r="D41" s="50" t="s">
        <v>58</v>
      </c>
      <c r="E41">
        <f t="shared" si="0"/>
        <v>868.97093577164537</v>
      </c>
      <c r="F41">
        <f t="shared" si="1"/>
        <v>869</v>
      </c>
      <c r="G41">
        <f t="shared" si="2"/>
        <v>-7.0469999998749699E-2</v>
      </c>
      <c r="I41">
        <f t="shared" si="6"/>
        <v>-7.0469999998749699E-2</v>
      </c>
      <c r="O41">
        <f t="shared" ca="1" si="4"/>
        <v>1.6860496213057859E-2</v>
      </c>
      <c r="Q41" s="2">
        <f t="shared" si="5"/>
        <v>21818.83</v>
      </c>
    </row>
    <row r="42" spans="1:31" x14ac:dyDescent="0.2">
      <c r="A42" s="50" t="s">
        <v>70</v>
      </c>
      <c r="B42" s="51" t="s">
        <v>41</v>
      </c>
      <c r="C42" s="50">
        <v>37174.39</v>
      </c>
      <c r="D42" s="50" t="s">
        <v>58</v>
      </c>
      <c r="E42">
        <f t="shared" si="0"/>
        <v>1007.9859607445269</v>
      </c>
      <c r="F42">
        <f t="shared" si="1"/>
        <v>1008</v>
      </c>
      <c r="G42">
        <f t="shared" si="2"/>
        <v>-3.4039999998640269E-2</v>
      </c>
      <c r="I42">
        <f t="shared" si="6"/>
        <v>-3.4039999998640269E-2</v>
      </c>
      <c r="O42">
        <f t="shared" ca="1" si="4"/>
        <v>1.8691938430973352E-2</v>
      </c>
      <c r="Q42" s="2">
        <f t="shared" si="5"/>
        <v>22155.89</v>
      </c>
    </row>
    <row r="43" spans="1:31" x14ac:dyDescent="0.2">
      <c r="A43" s="50" t="s">
        <v>70</v>
      </c>
      <c r="B43" s="51" t="s">
        <v>41</v>
      </c>
      <c r="C43" s="50">
        <v>37191.358</v>
      </c>
      <c r="D43" s="50" t="s">
        <v>58</v>
      </c>
      <c r="E43">
        <f t="shared" si="0"/>
        <v>1014.9841419103133</v>
      </c>
      <c r="F43">
        <f t="shared" si="1"/>
        <v>1015</v>
      </c>
      <c r="G43">
        <f t="shared" si="2"/>
        <v>-3.8450000000011642E-2</v>
      </c>
      <c r="I43">
        <f t="shared" si="6"/>
        <v>-3.8450000000011642E-2</v>
      </c>
      <c r="O43">
        <f t="shared" ca="1" si="4"/>
        <v>1.8784169334033842E-2</v>
      </c>
      <c r="Q43" s="2">
        <f t="shared" si="5"/>
        <v>22172.858</v>
      </c>
    </row>
    <row r="44" spans="1:31" x14ac:dyDescent="0.2">
      <c r="A44" s="50" t="s">
        <v>116</v>
      </c>
      <c r="B44" s="51" t="s">
        <v>41</v>
      </c>
      <c r="C44" s="50">
        <v>37191.406000000003</v>
      </c>
      <c r="D44" s="50" t="s">
        <v>58</v>
      </c>
      <c r="E44">
        <f t="shared" si="0"/>
        <v>1015.0039387452953</v>
      </c>
      <c r="F44">
        <f t="shared" si="1"/>
        <v>1015</v>
      </c>
      <c r="G44">
        <f t="shared" si="2"/>
        <v>9.5500000024912879E-3</v>
      </c>
      <c r="I44">
        <f t="shared" si="6"/>
        <v>9.5500000024912879E-3</v>
      </c>
      <c r="O44">
        <f t="shared" ca="1" si="4"/>
        <v>1.8784169334033842E-2</v>
      </c>
      <c r="Q44" s="2">
        <f t="shared" si="5"/>
        <v>22172.906000000003</v>
      </c>
    </row>
    <row r="45" spans="1:31" x14ac:dyDescent="0.2">
      <c r="A45" s="50" t="s">
        <v>116</v>
      </c>
      <c r="B45" s="51" t="s">
        <v>41</v>
      </c>
      <c r="C45" s="50">
        <v>37545.377999999997</v>
      </c>
      <c r="D45" s="50" t="s">
        <v>58</v>
      </c>
      <c r="E45">
        <f t="shared" si="0"/>
        <v>1160.9940485764837</v>
      </c>
      <c r="F45">
        <f t="shared" si="1"/>
        <v>1161</v>
      </c>
      <c r="G45">
        <f t="shared" si="2"/>
        <v>-1.4430000002903398E-2</v>
      </c>
      <c r="I45">
        <f t="shared" si="6"/>
        <v>-1.4430000002903398E-2</v>
      </c>
      <c r="O45">
        <f t="shared" ca="1" si="4"/>
        <v>2.0707842455009826E-2</v>
      </c>
      <c r="Q45" s="2">
        <f t="shared" si="5"/>
        <v>22526.877999999997</v>
      </c>
    </row>
    <row r="46" spans="1:31" x14ac:dyDescent="0.2">
      <c r="A46" s="50" t="s">
        <v>116</v>
      </c>
      <c r="B46" s="51" t="s">
        <v>41</v>
      </c>
      <c r="C46" s="50">
        <v>37579.377999999997</v>
      </c>
      <c r="D46" s="50" t="s">
        <v>58</v>
      </c>
      <c r="E46">
        <f t="shared" si="0"/>
        <v>1175.0168066880306</v>
      </c>
      <c r="F46">
        <f t="shared" si="1"/>
        <v>1175</v>
      </c>
      <c r="G46">
        <f t="shared" si="2"/>
        <v>4.0750000000116415E-2</v>
      </c>
      <c r="I46">
        <f t="shared" si="6"/>
        <v>4.0750000000116415E-2</v>
      </c>
      <c r="O46">
        <f t="shared" ca="1" si="4"/>
        <v>2.0892304261130812E-2</v>
      </c>
      <c r="Q46" s="2">
        <f t="shared" si="5"/>
        <v>22560.877999999997</v>
      </c>
    </row>
    <row r="47" spans="1:31" x14ac:dyDescent="0.2">
      <c r="A47" s="50" t="s">
        <v>116</v>
      </c>
      <c r="B47" s="51" t="s">
        <v>41</v>
      </c>
      <c r="C47" s="50">
        <v>37877.534</v>
      </c>
      <c r="D47" s="50" t="s">
        <v>58</v>
      </c>
      <c r="E47">
        <f t="shared" si="0"/>
        <v>1297.9864969088076</v>
      </c>
      <c r="F47">
        <f t="shared" si="1"/>
        <v>1298</v>
      </c>
      <c r="G47">
        <f t="shared" si="2"/>
        <v>-3.2739999995101243E-2</v>
      </c>
      <c r="I47">
        <f t="shared" si="6"/>
        <v>-3.2739999995101243E-2</v>
      </c>
      <c r="O47">
        <f t="shared" ca="1" si="4"/>
        <v>2.2512932986336606E-2</v>
      </c>
      <c r="Q47" s="2">
        <f t="shared" si="5"/>
        <v>22859.034</v>
      </c>
    </row>
    <row r="48" spans="1:31" x14ac:dyDescent="0.2">
      <c r="A48" s="50" t="s">
        <v>116</v>
      </c>
      <c r="B48" s="51" t="s">
        <v>41</v>
      </c>
      <c r="C48" s="50">
        <v>37933.364999999998</v>
      </c>
      <c r="D48" s="50" t="s">
        <v>58</v>
      </c>
      <c r="E48">
        <f t="shared" si="0"/>
        <v>1321.0131030301534</v>
      </c>
      <c r="F48">
        <f t="shared" si="1"/>
        <v>1321</v>
      </c>
      <c r="G48">
        <f t="shared" si="2"/>
        <v>3.177000000141561E-2</v>
      </c>
      <c r="I48">
        <f t="shared" si="6"/>
        <v>3.177000000141561E-2</v>
      </c>
      <c r="O48">
        <f t="shared" ca="1" si="4"/>
        <v>2.2815977382106795E-2</v>
      </c>
      <c r="Q48" s="2">
        <f t="shared" si="5"/>
        <v>22914.864999999998</v>
      </c>
    </row>
    <row r="49" spans="1:31" x14ac:dyDescent="0.2">
      <c r="A49" s="50" t="s">
        <v>116</v>
      </c>
      <c r="B49" s="51" t="s">
        <v>41</v>
      </c>
      <c r="C49" s="50">
        <v>38556.493999999999</v>
      </c>
      <c r="D49" s="50" t="s">
        <v>58</v>
      </c>
      <c r="E49">
        <f t="shared" si="0"/>
        <v>1578.0127277151571</v>
      </c>
      <c r="F49">
        <f t="shared" si="1"/>
        <v>1578</v>
      </c>
      <c r="G49">
        <f t="shared" si="2"/>
        <v>3.0859999998938292E-2</v>
      </c>
      <c r="I49">
        <f t="shared" si="6"/>
        <v>3.0859999998938292E-2</v>
      </c>
      <c r="O49">
        <f t="shared" ca="1" si="4"/>
        <v>2.6202169108756303E-2</v>
      </c>
      <c r="Q49" s="2">
        <f t="shared" si="5"/>
        <v>23537.993999999999</v>
      </c>
    </row>
    <row r="50" spans="1:31" x14ac:dyDescent="0.2">
      <c r="A50" s="50" t="s">
        <v>116</v>
      </c>
      <c r="B50" s="51" t="s">
        <v>41</v>
      </c>
      <c r="C50" s="50">
        <v>38709.294000000002</v>
      </c>
      <c r="D50" s="50" t="s">
        <v>58</v>
      </c>
      <c r="E50">
        <f t="shared" si="0"/>
        <v>1641.0326524046986</v>
      </c>
      <c r="F50">
        <f t="shared" si="1"/>
        <v>1641</v>
      </c>
      <c r="G50">
        <f t="shared" si="2"/>
        <v>7.9170000004523899E-2</v>
      </c>
      <c r="I50">
        <f t="shared" si="6"/>
        <v>7.9170000004523899E-2</v>
      </c>
      <c r="O50">
        <f t="shared" ca="1" si="4"/>
        <v>2.7032247236300735E-2</v>
      </c>
      <c r="Q50" s="2">
        <f t="shared" si="5"/>
        <v>23690.794000000002</v>
      </c>
    </row>
    <row r="51" spans="1:31" x14ac:dyDescent="0.2">
      <c r="A51" s="50" t="s">
        <v>116</v>
      </c>
      <c r="B51" s="51" t="s">
        <v>41</v>
      </c>
      <c r="C51" s="50">
        <v>39007.453000000001</v>
      </c>
      <c r="D51" s="50" t="s">
        <v>58</v>
      </c>
      <c r="E51">
        <f t="shared" si="0"/>
        <v>1764.0035799276607</v>
      </c>
      <c r="F51">
        <f t="shared" si="1"/>
        <v>1764</v>
      </c>
      <c r="G51">
        <f t="shared" si="2"/>
        <v>8.6800000062794425E-3</v>
      </c>
      <c r="I51">
        <f t="shared" si="6"/>
        <v>8.6800000062794425E-3</v>
      </c>
      <c r="O51">
        <f t="shared" ca="1" si="4"/>
        <v>2.8652875961506528E-2</v>
      </c>
      <c r="Q51" s="2">
        <f t="shared" si="5"/>
        <v>23988.953000000001</v>
      </c>
    </row>
    <row r="52" spans="1:31" x14ac:dyDescent="0.2">
      <c r="A52" s="50" t="s">
        <v>116</v>
      </c>
      <c r="B52" s="51" t="s">
        <v>41</v>
      </c>
      <c r="C52" s="50">
        <v>39029.305</v>
      </c>
      <c r="D52" s="50" t="s">
        <v>58</v>
      </c>
      <c r="E52">
        <f t="shared" si="0"/>
        <v>1773.0160890527638</v>
      </c>
      <c r="F52">
        <f t="shared" si="1"/>
        <v>1773</v>
      </c>
      <c r="G52">
        <f t="shared" si="2"/>
        <v>3.9010000000416767E-2</v>
      </c>
      <c r="I52">
        <f t="shared" si="6"/>
        <v>3.9010000000416767E-2</v>
      </c>
      <c r="O52">
        <f t="shared" ca="1" si="4"/>
        <v>2.8771458551155735E-2</v>
      </c>
      <c r="Q52" s="2">
        <f t="shared" si="5"/>
        <v>24010.805</v>
      </c>
    </row>
    <row r="53" spans="1:31" x14ac:dyDescent="0.2">
      <c r="A53" s="50" t="s">
        <v>116</v>
      </c>
      <c r="B53" s="51" t="s">
        <v>41</v>
      </c>
      <c r="C53" s="50">
        <v>39058.341</v>
      </c>
      <c r="D53" s="50" t="s">
        <v>58</v>
      </c>
      <c r="E53">
        <f t="shared" si="0"/>
        <v>1784.991524480025</v>
      </c>
      <c r="F53">
        <f t="shared" si="1"/>
        <v>1785</v>
      </c>
      <c r="G53">
        <f t="shared" si="2"/>
        <v>-2.0549999993818346E-2</v>
      </c>
      <c r="I53">
        <f t="shared" si="6"/>
        <v>-2.0549999993818346E-2</v>
      </c>
      <c r="O53">
        <f t="shared" ca="1" si="4"/>
        <v>2.8929568670688008E-2</v>
      </c>
      <c r="Q53" s="2">
        <f t="shared" si="5"/>
        <v>24039.841</v>
      </c>
    </row>
    <row r="54" spans="1:31" x14ac:dyDescent="0.2">
      <c r="A54" s="50" t="s">
        <v>116</v>
      </c>
      <c r="B54" s="51" t="s">
        <v>41</v>
      </c>
      <c r="C54" s="50">
        <v>39087.453999999998</v>
      </c>
      <c r="D54" s="50" t="s">
        <v>58</v>
      </c>
      <c r="E54">
        <f t="shared" si="0"/>
        <v>1796.9987173300672</v>
      </c>
      <c r="F54">
        <f t="shared" si="1"/>
        <v>1797</v>
      </c>
      <c r="G54">
        <f t="shared" si="2"/>
        <v>-3.1099999978323467E-3</v>
      </c>
      <c r="I54">
        <f t="shared" si="6"/>
        <v>-3.1099999978323467E-3</v>
      </c>
      <c r="O54">
        <f t="shared" ca="1" si="4"/>
        <v>2.908767879022028E-2</v>
      </c>
      <c r="Q54" s="2">
        <f t="shared" si="5"/>
        <v>24068.953999999998</v>
      </c>
    </row>
    <row r="55" spans="1:31" x14ac:dyDescent="0.2">
      <c r="A55" t="s">
        <v>29</v>
      </c>
      <c r="B55" s="15"/>
      <c r="C55" s="11">
        <v>48480.383999999998</v>
      </c>
      <c r="D55" s="11">
        <v>5.0000000000000001E-3</v>
      </c>
      <c r="E55">
        <f t="shared" si="0"/>
        <v>5670.9629922916074</v>
      </c>
      <c r="F55">
        <f t="shared" si="1"/>
        <v>5671</v>
      </c>
      <c r="O55">
        <f t="shared" ca="1" si="4"/>
        <v>8.0130895712555647E-2</v>
      </c>
      <c r="Q55" s="2">
        <f t="shared" si="5"/>
        <v>33461.883999999998</v>
      </c>
      <c r="U55" s="30">
        <v>-8.9729999999690335E-2</v>
      </c>
      <c r="AA55">
        <v>12</v>
      </c>
      <c r="AC55" t="s">
        <v>28</v>
      </c>
      <c r="AE55" t="s">
        <v>30</v>
      </c>
    </row>
    <row r="56" spans="1:31" x14ac:dyDescent="0.2">
      <c r="A56" t="s">
        <v>31</v>
      </c>
      <c r="B56" s="15"/>
      <c r="C56" s="11">
        <v>49200.451999999997</v>
      </c>
      <c r="D56" s="11">
        <v>1.2E-2</v>
      </c>
      <c r="E56">
        <f t="shared" si="0"/>
        <v>5967.9435625229416</v>
      </c>
      <c r="F56">
        <f t="shared" si="1"/>
        <v>5968</v>
      </c>
      <c r="O56">
        <f t="shared" ca="1" si="4"/>
        <v>8.4044121170979397E-2</v>
      </c>
      <c r="Q56" s="2">
        <f t="shared" si="5"/>
        <v>34181.951999999997</v>
      </c>
      <c r="U56" s="30">
        <v>-0.1368399999992107</v>
      </c>
    </row>
    <row r="57" spans="1:31" x14ac:dyDescent="0.2">
      <c r="A57" s="25" t="s">
        <v>39</v>
      </c>
      <c r="B57" s="15" t="s">
        <v>40</v>
      </c>
      <c r="C57" s="9">
        <v>53619.5818</v>
      </c>
      <c r="D57" s="9">
        <v>2.9999999999999997E-4</v>
      </c>
      <c r="E57">
        <f t="shared" si="0"/>
        <v>7790.5432169031983</v>
      </c>
      <c r="F57">
        <f t="shared" si="1"/>
        <v>7790.5</v>
      </c>
      <c r="G57">
        <f t="shared" ref="G57:G64" si="7">+C57-(C$7+F57*C$8)</f>
        <v>0.10478500000317581</v>
      </c>
      <c r="K57">
        <f>+G57</f>
        <v>0.10478500000317581</v>
      </c>
      <c r="O57">
        <f t="shared" ca="1" si="4"/>
        <v>0.10805709557494331</v>
      </c>
      <c r="Q57" s="2">
        <f t="shared" si="5"/>
        <v>38601.0818</v>
      </c>
    </row>
    <row r="58" spans="1:31" x14ac:dyDescent="0.2">
      <c r="A58" s="25" t="s">
        <v>39</v>
      </c>
      <c r="B58" s="15" t="s">
        <v>41</v>
      </c>
      <c r="C58" s="9">
        <v>53625.643799999998</v>
      </c>
      <c r="D58" s="9">
        <v>1E-4</v>
      </c>
      <c r="E58">
        <f t="shared" si="0"/>
        <v>7793.0433921876738</v>
      </c>
      <c r="F58">
        <f t="shared" si="1"/>
        <v>7793</v>
      </c>
      <c r="G58">
        <f t="shared" si="7"/>
        <v>0.10521000000153435</v>
      </c>
      <c r="K58">
        <f>+G58</f>
        <v>0.10521000000153435</v>
      </c>
      <c r="O58">
        <f t="shared" ca="1" si="4"/>
        <v>0.10809003518317921</v>
      </c>
      <c r="Q58" s="2">
        <f t="shared" si="5"/>
        <v>38607.143799999998</v>
      </c>
    </row>
    <row r="59" spans="1:31" x14ac:dyDescent="0.2">
      <c r="A59" s="26" t="s">
        <v>42</v>
      </c>
      <c r="B59" s="27"/>
      <c r="C59" s="9">
        <v>54241.504999999997</v>
      </c>
      <c r="D59" s="9">
        <v>8.9999999999999998E-4</v>
      </c>
      <c r="E59">
        <f t="shared" si="0"/>
        <v>8047.0455285961152</v>
      </c>
      <c r="F59">
        <f t="shared" si="1"/>
        <v>8047</v>
      </c>
      <c r="G59">
        <f t="shared" si="7"/>
        <v>0.11038999999436783</v>
      </c>
      <c r="J59">
        <f>+G59</f>
        <v>0.11038999999436783</v>
      </c>
      <c r="O59">
        <f t="shared" ca="1" si="4"/>
        <v>0.11143669937994564</v>
      </c>
      <c r="Q59" s="2">
        <f t="shared" si="5"/>
        <v>39223.004999999997</v>
      </c>
    </row>
    <row r="60" spans="1:31" x14ac:dyDescent="0.2">
      <c r="A60" s="50" t="s">
        <v>193</v>
      </c>
      <c r="B60" s="51" t="s">
        <v>41</v>
      </c>
      <c r="C60" s="50">
        <v>55075.580699999999</v>
      </c>
      <c r="D60" s="50" t="s">
        <v>58</v>
      </c>
      <c r="E60">
        <f t="shared" si="0"/>
        <v>8391.0467576496212</v>
      </c>
      <c r="F60">
        <f t="shared" si="1"/>
        <v>8391</v>
      </c>
      <c r="G60">
        <f t="shared" si="7"/>
        <v>0.11336999999912223</v>
      </c>
      <c r="I60">
        <f>+G60</f>
        <v>0.11336999999912223</v>
      </c>
      <c r="O60">
        <f t="shared" ca="1" si="4"/>
        <v>0.11596918947320413</v>
      </c>
      <c r="Q60" s="2">
        <f t="shared" si="5"/>
        <v>40057.080699999999</v>
      </c>
    </row>
    <row r="61" spans="1:31" x14ac:dyDescent="0.2">
      <c r="A61" s="50" t="s">
        <v>193</v>
      </c>
      <c r="B61" s="51" t="s">
        <v>41</v>
      </c>
      <c r="C61" s="50">
        <v>55075.588499999998</v>
      </c>
      <c r="D61" s="50" t="s">
        <v>58</v>
      </c>
      <c r="E61">
        <f t="shared" si="0"/>
        <v>8391.0499746353053</v>
      </c>
      <c r="F61">
        <f t="shared" si="1"/>
        <v>8391</v>
      </c>
      <c r="G61">
        <f t="shared" si="7"/>
        <v>0.12116999999852851</v>
      </c>
      <c r="I61">
        <f>+G61</f>
        <v>0.12116999999852851</v>
      </c>
      <c r="O61">
        <f t="shared" ca="1" si="4"/>
        <v>0.11596918947320413</v>
      </c>
      <c r="Q61" s="2">
        <f t="shared" si="5"/>
        <v>40057.088499999998</v>
      </c>
    </row>
    <row r="62" spans="1:31" x14ac:dyDescent="0.2">
      <c r="A62" s="35" t="s">
        <v>46</v>
      </c>
      <c r="B62" s="36" t="s">
        <v>41</v>
      </c>
      <c r="C62" s="35">
        <v>55691.44</v>
      </c>
      <c r="D62" s="35">
        <v>1E-3</v>
      </c>
      <c r="E62">
        <f t="shared" si="0"/>
        <v>8645.0481104333467</v>
      </c>
      <c r="F62">
        <f t="shared" si="1"/>
        <v>8645</v>
      </c>
      <c r="G62">
        <f t="shared" si="7"/>
        <v>0.11665000000357395</v>
      </c>
      <c r="J62">
        <f>+G62</f>
        <v>0.11665000000357395</v>
      </c>
      <c r="O62">
        <f t="shared" ca="1" si="4"/>
        <v>0.11931585366997056</v>
      </c>
      <c r="Q62" s="2">
        <f t="shared" si="5"/>
        <v>40672.94</v>
      </c>
    </row>
    <row r="63" spans="1:31" x14ac:dyDescent="0.2">
      <c r="A63" s="50" t="s">
        <v>209</v>
      </c>
      <c r="B63" s="51" t="s">
        <v>41</v>
      </c>
      <c r="C63" s="50">
        <v>55851.470999999998</v>
      </c>
      <c r="D63" s="50" t="s">
        <v>58</v>
      </c>
      <c r="E63">
        <f t="shared" si="0"/>
        <v>8711.0503458259609</v>
      </c>
      <c r="F63">
        <f t="shared" si="1"/>
        <v>8711</v>
      </c>
      <c r="G63">
        <f t="shared" si="7"/>
        <v>0.12207000000489643</v>
      </c>
      <c r="I63">
        <f>+G63</f>
        <v>0.12207000000489643</v>
      </c>
      <c r="O63">
        <f t="shared" ca="1" si="4"/>
        <v>0.12018545932739806</v>
      </c>
      <c r="Q63" s="2">
        <f t="shared" si="5"/>
        <v>40832.970999999998</v>
      </c>
    </row>
    <row r="64" spans="1:31" x14ac:dyDescent="0.2">
      <c r="A64" s="33" t="s">
        <v>47</v>
      </c>
      <c r="B64" s="34"/>
      <c r="C64" s="33">
        <v>56856.497100000001</v>
      </c>
      <c r="D64" s="33">
        <v>2.3999999999999998E-3</v>
      </c>
      <c r="E64">
        <f t="shared" si="0"/>
        <v>9125.5573427698255</v>
      </c>
      <c r="F64">
        <f t="shared" si="1"/>
        <v>9125.5</v>
      </c>
      <c r="G64">
        <f t="shared" si="7"/>
        <v>0.13903500000742497</v>
      </c>
      <c r="J64">
        <f>+G64</f>
        <v>0.13903500000742497</v>
      </c>
      <c r="O64">
        <f t="shared" ca="1" si="4"/>
        <v>0.12564684637290865</v>
      </c>
      <c r="Q64" s="2">
        <f t="shared" si="5"/>
        <v>41837.997100000001</v>
      </c>
    </row>
    <row r="65" spans="1:17" x14ac:dyDescent="0.2">
      <c r="A65" s="53" t="s">
        <v>216</v>
      </c>
      <c r="B65" s="54" t="s">
        <v>41</v>
      </c>
      <c r="C65" s="55">
        <v>59071.3914</v>
      </c>
      <c r="D65" s="56">
        <v>1.9E-3</v>
      </c>
      <c r="E65">
        <f t="shared" ref="E65:E66" si="8">+(C65-C$7)/C$8</f>
        <v>10039.055196050533</v>
      </c>
      <c r="F65">
        <f t="shared" ref="F65:F66" si="9">ROUND(2*E65,0)/2</f>
        <v>10039</v>
      </c>
      <c r="G65">
        <f t="shared" ref="G65:G66" si="10">+C65-(C$7+F65*C$8)</f>
        <v>0.13382999999885214</v>
      </c>
      <c r="K65">
        <f>+G65</f>
        <v>0.13382999999885214</v>
      </c>
      <c r="O65">
        <f t="shared" ref="O65:O66" ca="1" si="11">+C$11+C$12*F65</f>
        <v>0.13768297922230288</v>
      </c>
      <c r="Q65" s="2">
        <f t="shared" ref="Q65:Q66" si="12">+C65-15018.5</f>
        <v>44052.8914</v>
      </c>
    </row>
    <row r="66" spans="1:17" x14ac:dyDescent="0.2">
      <c r="A66" s="53" t="s">
        <v>216</v>
      </c>
      <c r="B66" s="54" t="s">
        <v>41</v>
      </c>
      <c r="C66" s="55">
        <v>59425.389000000003</v>
      </c>
      <c r="D66" s="56">
        <v>1.5E-3</v>
      </c>
      <c r="E66">
        <f t="shared" si="8"/>
        <v>10185.055864193713</v>
      </c>
      <c r="F66">
        <f t="shared" si="9"/>
        <v>10185</v>
      </c>
      <c r="G66">
        <f t="shared" si="10"/>
        <v>0.13545000000885921</v>
      </c>
      <c r="K66">
        <f>+G66</f>
        <v>0.13545000000885921</v>
      </c>
      <c r="O66">
        <f t="shared" ca="1" si="11"/>
        <v>0.1396066523432789</v>
      </c>
      <c r="Q66" s="2">
        <f t="shared" si="12"/>
        <v>44406.889000000003</v>
      </c>
    </row>
    <row r="67" spans="1:17" x14ac:dyDescent="0.2">
      <c r="B67" s="15"/>
      <c r="C67" s="9"/>
      <c r="D67" s="9"/>
    </row>
    <row r="68" spans="1:17" x14ac:dyDescent="0.2">
      <c r="B68" s="15"/>
      <c r="C68" s="9"/>
      <c r="D68" s="9"/>
    </row>
    <row r="69" spans="1:17" x14ac:dyDescent="0.2">
      <c r="B69" s="15"/>
      <c r="C69" s="9"/>
      <c r="D69" s="9"/>
    </row>
    <row r="70" spans="1:17" x14ac:dyDescent="0.2">
      <c r="B70" s="15"/>
      <c r="C70" s="9"/>
      <c r="D70" s="9"/>
    </row>
    <row r="71" spans="1:17" x14ac:dyDescent="0.2">
      <c r="B71" s="15"/>
      <c r="C71" s="9"/>
      <c r="D71" s="9"/>
    </row>
    <row r="72" spans="1:17" x14ac:dyDescent="0.2">
      <c r="B72" s="15"/>
      <c r="C72" s="9"/>
      <c r="D72" s="9"/>
    </row>
    <row r="73" spans="1:17" x14ac:dyDescent="0.2">
      <c r="B73" s="15"/>
      <c r="C73" s="9"/>
      <c r="D73" s="9"/>
    </row>
    <row r="74" spans="1:17" x14ac:dyDescent="0.2">
      <c r="B74" s="15"/>
      <c r="C74" s="9"/>
      <c r="D74" s="9"/>
    </row>
    <row r="75" spans="1:17" x14ac:dyDescent="0.2">
      <c r="B75" s="15"/>
      <c r="C75" s="9"/>
      <c r="D75" s="9"/>
    </row>
    <row r="76" spans="1:17" x14ac:dyDescent="0.2">
      <c r="B76" s="15"/>
      <c r="C76" s="9"/>
      <c r="D76" s="9"/>
    </row>
    <row r="77" spans="1:17" x14ac:dyDescent="0.2">
      <c r="B77" s="15"/>
      <c r="C77" s="9"/>
      <c r="D77" s="9"/>
    </row>
    <row r="78" spans="1:17" x14ac:dyDescent="0.2">
      <c r="B78" s="15"/>
      <c r="C78" s="9"/>
      <c r="D78" s="9"/>
    </row>
    <row r="79" spans="1:17" x14ac:dyDescent="0.2">
      <c r="B79" s="15"/>
      <c r="C79" s="9"/>
      <c r="D79" s="9"/>
    </row>
    <row r="80" spans="1:17" x14ac:dyDescent="0.2">
      <c r="B80" s="15"/>
      <c r="C80" s="9"/>
      <c r="D80" s="9"/>
    </row>
    <row r="81" spans="2:4" x14ac:dyDescent="0.2">
      <c r="B81" s="15"/>
      <c r="C81" s="9"/>
      <c r="D81" s="9"/>
    </row>
    <row r="82" spans="2:4" x14ac:dyDescent="0.2">
      <c r="B82" s="15"/>
      <c r="C82" s="9"/>
      <c r="D82" s="9"/>
    </row>
    <row r="83" spans="2:4" x14ac:dyDescent="0.2">
      <c r="B83" s="15"/>
      <c r="C83" s="9"/>
      <c r="D83" s="9"/>
    </row>
    <row r="84" spans="2:4" x14ac:dyDescent="0.2">
      <c r="B84" s="15"/>
      <c r="C84" s="9"/>
      <c r="D84" s="9"/>
    </row>
    <row r="85" spans="2:4" x14ac:dyDescent="0.2">
      <c r="B85" s="15"/>
      <c r="C85" s="9"/>
      <c r="D85" s="9"/>
    </row>
    <row r="86" spans="2:4" x14ac:dyDescent="0.2">
      <c r="B86" s="15"/>
      <c r="C86" s="9"/>
      <c r="D86" s="9"/>
    </row>
    <row r="87" spans="2:4" x14ac:dyDescent="0.2">
      <c r="B87" s="15"/>
      <c r="C87" s="9"/>
      <c r="D87" s="9"/>
    </row>
    <row r="88" spans="2:4" x14ac:dyDescent="0.2">
      <c r="B88" s="15"/>
      <c r="C88" s="9"/>
      <c r="D88" s="9"/>
    </row>
    <row r="89" spans="2:4" x14ac:dyDescent="0.2">
      <c r="B89" s="15"/>
      <c r="C89" s="9"/>
      <c r="D89" s="9"/>
    </row>
    <row r="90" spans="2:4" x14ac:dyDescent="0.2">
      <c r="B90" s="15"/>
      <c r="C90" s="9"/>
      <c r="D90" s="9"/>
    </row>
    <row r="91" spans="2:4" x14ac:dyDescent="0.2">
      <c r="B91" s="15"/>
      <c r="C91" s="9"/>
      <c r="D91" s="9"/>
    </row>
    <row r="92" spans="2:4" x14ac:dyDescent="0.2">
      <c r="B92" s="15"/>
      <c r="C92" s="9"/>
      <c r="D92" s="9"/>
    </row>
    <row r="93" spans="2:4" x14ac:dyDescent="0.2">
      <c r="B93" s="15"/>
      <c r="C93" s="9"/>
      <c r="D93" s="9"/>
    </row>
    <row r="94" spans="2:4" x14ac:dyDescent="0.2">
      <c r="B94" s="15"/>
      <c r="C94" s="9"/>
      <c r="D94" s="9"/>
    </row>
    <row r="95" spans="2:4" x14ac:dyDescent="0.2">
      <c r="B95" s="15"/>
      <c r="C95" s="9"/>
      <c r="D95" s="9"/>
    </row>
    <row r="96" spans="2:4" x14ac:dyDescent="0.2">
      <c r="B96" s="15"/>
      <c r="C96" s="9"/>
      <c r="D96" s="9"/>
    </row>
    <row r="97" spans="2:4" x14ac:dyDescent="0.2">
      <c r="B97" s="15"/>
      <c r="C97" s="9"/>
      <c r="D97" s="9"/>
    </row>
    <row r="98" spans="2:4" x14ac:dyDescent="0.2">
      <c r="B98" s="15"/>
      <c r="C98" s="9"/>
      <c r="D98" s="9"/>
    </row>
    <row r="99" spans="2:4" x14ac:dyDescent="0.2">
      <c r="B99" s="15"/>
      <c r="C99" s="9"/>
      <c r="D99" s="9"/>
    </row>
    <row r="100" spans="2:4" x14ac:dyDescent="0.2">
      <c r="B100" s="15"/>
      <c r="C100" s="9"/>
      <c r="D100" s="9"/>
    </row>
    <row r="101" spans="2:4" x14ac:dyDescent="0.2">
      <c r="B101" s="15"/>
      <c r="C101" s="9"/>
      <c r="D101" s="9"/>
    </row>
    <row r="102" spans="2:4" x14ac:dyDescent="0.2">
      <c r="B102" s="15"/>
      <c r="C102" s="9"/>
      <c r="D102" s="9"/>
    </row>
    <row r="103" spans="2:4" x14ac:dyDescent="0.2">
      <c r="B103" s="15"/>
      <c r="C103" s="9"/>
      <c r="D103" s="9"/>
    </row>
    <row r="104" spans="2:4" x14ac:dyDescent="0.2">
      <c r="B104" s="15"/>
      <c r="C104" s="9"/>
      <c r="D104" s="9"/>
    </row>
    <row r="105" spans="2:4" x14ac:dyDescent="0.2">
      <c r="B105" s="15"/>
      <c r="C105" s="9"/>
      <c r="D105" s="9"/>
    </row>
    <row r="106" spans="2:4" x14ac:dyDescent="0.2">
      <c r="B106" s="15"/>
      <c r="C106" s="9"/>
      <c r="D106" s="9"/>
    </row>
    <row r="107" spans="2:4" x14ac:dyDescent="0.2">
      <c r="B107" s="15"/>
      <c r="C107" s="9"/>
      <c r="D107" s="9"/>
    </row>
    <row r="108" spans="2:4" x14ac:dyDescent="0.2">
      <c r="B108" s="15"/>
      <c r="C108" s="9"/>
      <c r="D108" s="9"/>
    </row>
    <row r="109" spans="2:4" x14ac:dyDescent="0.2">
      <c r="B109" s="15"/>
      <c r="C109" s="9"/>
      <c r="D109" s="9"/>
    </row>
    <row r="110" spans="2:4" x14ac:dyDescent="0.2">
      <c r="B110" s="15"/>
      <c r="C110" s="9"/>
      <c r="D110" s="9"/>
    </row>
    <row r="111" spans="2:4" x14ac:dyDescent="0.2">
      <c r="B111" s="15"/>
      <c r="C111" s="9"/>
      <c r="D111" s="9"/>
    </row>
    <row r="112" spans="2:4" x14ac:dyDescent="0.2">
      <c r="B112" s="15"/>
      <c r="C112" s="9"/>
      <c r="D112" s="9"/>
    </row>
    <row r="113" spans="2:4" x14ac:dyDescent="0.2">
      <c r="B113" s="15"/>
      <c r="C113" s="9"/>
      <c r="D113" s="9"/>
    </row>
    <row r="114" spans="2:4" x14ac:dyDescent="0.2">
      <c r="B114" s="15"/>
      <c r="C114" s="9"/>
      <c r="D114" s="9"/>
    </row>
    <row r="115" spans="2:4" x14ac:dyDescent="0.2">
      <c r="B115" s="15"/>
      <c r="C115" s="9"/>
      <c r="D115" s="9"/>
    </row>
    <row r="116" spans="2:4" x14ac:dyDescent="0.2">
      <c r="B116" s="15"/>
      <c r="C116" s="9"/>
      <c r="D116" s="9"/>
    </row>
    <row r="117" spans="2:4" x14ac:dyDescent="0.2">
      <c r="B117" s="15"/>
      <c r="C117" s="9"/>
      <c r="D117" s="9"/>
    </row>
    <row r="118" spans="2:4" x14ac:dyDescent="0.2">
      <c r="B118" s="15"/>
      <c r="C118" s="9"/>
      <c r="D118" s="9"/>
    </row>
    <row r="119" spans="2:4" x14ac:dyDescent="0.2">
      <c r="B119" s="15"/>
      <c r="C119" s="9"/>
      <c r="D119" s="9"/>
    </row>
    <row r="120" spans="2:4" x14ac:dyDescent="0.2">
      <c r="B120" s="15"/>
      <c r="C120" s="9"/>
      <c r="D120" s="9"/>
    </row>
    <row r="121" spans="2:4" x14ac:dyDescent="0.2">
      <c r="B121" s="15"/>
      <c r="C121" s="9"/>
      <c r="D121" s="9"/>
    </row>
    <row r="122" spans="2:4" x14ac:dyDescent="0.2">
      <c r="B122" s="15"/>
      <c r="C122" s="9"/>
      <c r="D122" s="9"/>
    </row>
    <row r="123" spans="2:4" x14ac:dyDescent="0.2">
      <c r="B123" s="15"/>
      <c r="C123" s="9"/>
      <c r="D123" s="9"/>
    </row>
    <row r="124" spans="2:4" x14ac:dyDescent="0.2">
      <c r="B124" s="15"/>
      <c r="C124" s="9"/>
      <c r="D124" s="9"/>
    </row>
    <row r="125" spans="2:4" x14ac:dyDescent="0.2">
      <c r="B125" s="15"/>
      <c r="C125" s="9"/>
      <c r="D125" s="9"/>
    </row>
    <row r="126" spans="2:4" x14ac:dyDescent="0.2">
      <c r="B126" s="15"/>
      <c r="C126" s="9"/>
      <c r="D126" s="9"/>
    </row>
    <row r="127" spans="2:4" x14ac:dyDescent="0.2">
      <c r="B127" s="15"/>
      <c r="C127" s="9"/>
      <c r="D127" s="9"/>
    </row>
    <row r="128" spans="2:4" x14ac:dyDescent="0.2">
      <c r="B128" s="15"/>
      <c r="C128" s="9"/>
      <c r="D128" s="9"/>
    </row>
    <row r="129" spans="2:4" x14ac:dyDescent="0.2">
      <c r="B129" s="15"/>
      <c r="C129" s="9"/>
      <c r="D129" s="9"/>
    </row>
    <row r="130" spans="2:4" x14ac:dyDescent="0.2">
      <c r="B130" s="15"/>
      <c r="C130" s="9"/>
      <c r="D130" s="9"/>
    </row>
    <row r="131" spans="2:4" x14ac:dyDescent="0.2">
      <c r="B131" s="15"/>
      <c r="C131" s="9"/>
      <c r="D131" s="9"/>
    </row>
    <row r="132" spans="2:4" x14ac:dyDescent="0.2">
      <c r="B132" s="15"/>
      <c r="C132" s="9"/>
      <c r="D132" s="9"/>
    </row>
    <row r="133" spans="2:4" x14ac:dyDescent="0.2">
      <c r="B133" s="15"/>
      <c r="C133" s="9"/>
      <c r="D133" s="9"/>
    </row>
    <row r="134" spans="2:4" x14ac:dyDescent="0.2">
      <c r="B134" s="15"/>
      <c r="C134" s="9"/>
      <c r="D134" s="9"/>
    </row>
    <row r="135" spans="2:4" x14ac:dyDescent="0.2">
      <c r="B135" s="15"/>
      <c r="C135" s="9"/>
      <c r="D135" s="9"/>
    </row>
    <row r="136" spans="2:4" x14ac:dyDescent="0.2">
      <c r="B136" s="15"/>
      <c r="C136" s="9"/>
      <c r="D136" s="9"/>
    </row>
    <row r="137" spans="2:4" x14ac:dyDescent="0.2">
      <c r="B137" s="15"/>
      <c r="C137" s="9"/>
      <c r="D137" s="9"/>
    </row>
    <row r="138" spans="2:4" x14ac:dyDescent="0.2">
      <c r="B138" s="15"/>
      <c r="C138" s="9"/>
      <c r="D138" s="9"/>
    </row>
    <row r="139" spans="2:4" x14ac:dyDescent="0.2">
      <c r="B139" s="15"/>
      <c r="C139" s="9"/>
      <c r="D139" s="9"/>
    </row>
    <row r="140" spans="2:4" x14ac:dyDescent="0.2">
      <c r="B140" s="15"/>
      <c r="C140" s="9"/>
      <c r="D140" s="9"/>
    </row>
    <row r="141" spans="2:4" x14ac:dyDescent="0.2">
      <c r="B141" s="15"/>
      <c r="C141" s="9"/>
      <c r="D141" s="9"/>
    </row>
    <row r="142" spans="2:4" x14ac:dyDescent="0.2">
      <c r="B142" s="15"/>
      <c r="C142" s="9"/>
      <c r="D142" s="9"/>
    </row>
    <row r="143" spans="2:4" x14ac:dyDescent="0.2">
      <c r="C143" s="9"/>
      <c r="D143" s="9"/>
    </row>
    <row r="144" spans="2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6" workbookViewId="0">
      <selection activeCell="A18" sqref="A18:D53"/>
    </sheetView>
  </sheetViews>
  <sheetFormatPr defaultRowHeight="12.75" x14ac:dyDescent="0.2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7" t="s">
        <v>48</v>
      </c>
      <c r="I1" s="38" t="s">
        <v>49</v>
      </c>
      <c r="J1" s="39" t="s">
        <v>50</v>
      </c>
    </row>
    <row r="2" spans="1:16" x14ac:dyDescent="0.2">
      <c r="I2" s="40" t="s">
        <v>51</v>
      </c>
      <c r="J2" s="41" t="s">
        <v>52</v>
      </c>
    </row>
    <row r="3" spans="1:16" x14ac:dyDescent="0.2">
      <c r="A3" s="42" t="s">
        <v>53</v>
      </c>
      <c r="I3" s="40" t="s">
        <v>54</v>
      </c>
      <c r="J3" s="41" t="s">
        <v>55</v>
      </c>
    </row>
    <row r="4" spans="1:16" x14ac:dyDescent="0.2">
      <c r="I4" s="40" t="s">
        <v>56</v>
      </c>
      <c r="J4" s="41" t="s">
        <v>55</v>
      </c>
    </row>
    <row r="5" spans="1:16" ht="13.5" thickBot="1" x14ac:dyDescent="0.25">
      <c r="I5" s="43" t="s">
        <v>57</v>
      </c>
      <c r="J5" s="44" t="s">
        <v>58</v>
      </c>
    </row>
    <row r="10" spans="1:16" ht="13.5" thickBot="1" x14ac:dyDescent="0.25"/>
    <row r="11" spans="1:16" ht="12.75" customHeight="1" thickBot="1" x14ac:dyDescent="0.25">
      <c r="A11" s="9" t="str">
        <f t="shared" ref="A11:A53" si="0">P11</f>
        <v> BBS 98 </v>
      </c>
      <c r="B11" s="15" t="str">
        <f t="shared" ref="B11:B53" si="1">IF(H11=INT(H11),"I","II")</f>
        <v>I</v>
      </c>
      <c r="C11" s="9">
        <f t="shared" ref="C11:C53" si="2">1*G11</f>
        <v>48480.383999999998</v>
      </c>
      <c r="D11" s="13" t="str">
        <f t="shared" ref="D11:D53" si="3">VLOOKUP(F11,I$1:J$5,2,FALSE)</f>
        <v>vis</v>
      </c>
      <c r="E11" s="45">
        <f>VLOOKUP(C11,Active!C$21:E$973,3,FALSE)</f>
        <v>5670.9629922916074</v>
      </c>
      <c r="F11" s="15" t="s">
        <v>57</v>
      </c>
      <c r="G11" s="13" t="str">
        <f t="shared" ref="G11:G53" si="4">MID(I11,3,LEN(I11)-3)</f>
        <v>48480.384</v>
      </c>
      <c r="H11" s="9">
        <f t="shared" ref="H11:H53" si="5">1*K11</f>
        <v>5671</v>
      </c>
      <c r="I11" s="46" t="s">
        <v>162</v>
      </c>
      <c r="J11" s="47" t="s">
        <v>163</v>
      </c>
      <c r="K11" s="46">
        <v>5671</v>
      </c>
      <c r="L11" s="46" t="s">
        <v>164</v>
      </c>
      <c r="M11" s="47" t="s">
        <v>165</v>
      </c>
      <c r="N11" s="47"/>
      <c r="O11" s="48" t="s">
        <v>166</v>
      </c>
      <c r="P11" s="48" t="s">
        <v>167</v>
      </c>
    </row>
    <row r="12" spans="1:16" ht="12.75" customHeight="1" thickBot="1" x14ac:dyDescent="0.25">
      <c r="A12" s="9" t="str">
        <f t="shared" si="0"/>
        <v> BBS 105 </v>
      </c>
      <c r="B12" s="15" t="str">
        <f t="shared" si="1"/>
        <v>I</v>
      </c>
      <c r="C12" s="9">
        <f t="shared" si="2"/>
        <v>49200.451999999997</v>
      </c>
      <c r="D12" s="13" t="str">
        <f t="shared" si="3"/>
        <v>vis</v>
      </c>
      <c r="E12" s="45">
        <f>VLOOKUP(C12,Active!C$21:E$973,3,FALSE)</f>
        <v>5967.9435625229416</v>
      </c>
      <c r="F12" s="15" t="s">
        <v>57</v>
      </c>
      <c r="G12" s="13" t="str">
        <f t="shared" si="4"/>
        <v>49200.452</v>
      </c>
      <c r="H12" s="9">
        <f t="shared" si="5"/>
        <v>5968</v>
      </c>
      <c r="I12" s="46" t="s">
        <v>168</v>
      </c>
      <c r="J12" s="47" t="s">
        <v>169</v>
      </c>
      <c r="K12" s="46">
        <v>5968</v>
      </c>
      <c r="L12" s="46" t="s">
        <v>170</v>
      </c>
      <c r="M12" s="47" t="s">
        <v>165</v>
      </c>
      <c r="N12" s="47"/>
      <c r="O12" s="48" t="s">
        <v>166</v>
      </c>
      <c r="P12" s="48" t="s">
        <v>171</v>
      </c>
    </row>
    <row r="13" spans="1:16" ht="12.75" customHeight="1" thickBot="1" x14ac:dyDescent="0.25">
      <c r="A13" s="9" t="str">
        <f t="shared" si="0"/>
        <v>IBVS 5745 </v>
      </c>
      <c r="B13" s="15" t="str">
        <f t="shared" si="1"/>
        <v>II</v>
      </c>
      <c r="C13" s="9">
        <f t="shared" si="2"/>
        <v>53619.5818</v>
      </c>
      <c r="D13" s="13" t="str">
        <f t="shared" si="3"/>
        <v>vis</v>
      </c>
      <c r="E13" s="45">
        <f>VLOOKUP(C13,Active!C$21:E$973,3,FALSE)</f>
        <v>7790.5432169031983</v>
      </c>
      <c r="F13" s="15" t="s">
        <v>57</v>
      </c>
      <c r="G13" s="13" t="str">
        <f t="shared" si="4"/>
        <v>53619.5818</v>
      </c>
      <c r="H13" s="9">
        <f t="shared" si="5"/>
        <v>7790.5</v>
      </c>
      <c r="I13" s="46" t="s">
        <v>172</v>
      </c>
      <c r="J13" s="47" t="s">
        <v>173</v>
      </c>
      <c r="K13" s="46">
        <v>7790.5</v>
      </c>
      <c r="L13" s="46" t="s">
        <v>174</v>
      </c>
      <c r="M13" s="47" t="s">
        <v>175</v>
      </c>
      <c r="N13" s="47" t="s">
        <v>176</v>
      </c>
      <c r="O13" s="48" t="s">
        <v>177</v>
      </c>
      <c r="P13" s="49" t="s">
        <v>178</v>
      </c>
    </row>
    <row r="14" spans="1:16" ht="12.75" customHeight="1" thickBot="1" x14ac:dyDescent="0.25">
      <c r="A14" s="9" t="str">
        <f t="shared" si="0"/>
        <v>IBVS 5745 </v>
      </c>
      <c r="B14" s="15" t="str">
        <f t="shared" si="1"/>
        <v>I</v>
      </c>
      <c r="C14" s="9">
        <f t="shared" si="2"/>
        <v>53625.643799999998</v>
      </c>
      <c r="D14" s="13" t="str">
        <f t="shared" si="3"/>
        <v>vis</v>
      </c>
      <c r="E14" s="45">
        <f>VLOOKUP(C14,Active!C$21:E$973,3,FALSE)</f>
        <v>7793.0433921876738</v>
      </c>
      <c r="F14" s="15" t="s">
        <v>57</v>
      </c>
      <c r="G14" s="13" t="str">
        <f t="shared" si="4"/>
        <v>53625.6438</v>
      </c>
      <c r="H14" s="9">
        <f t="shared" si="5"/>
        <v>7793</v>
      </c>
      <c r="I14" s="46" t="s">
        <v>179</v>
      </c>
      <c r="J14" s="47" t="s">
        <v>180</v>
      </c>
      <c r="K14" s="46">
        <v>7793</v>
      </c>
      <c r="L14" s="46" t="s">
        <v>181</v>
      </c>
      <c r="M14" s="47" t="s">
        <v>175</v>
      </c>
      <c r="N14" s="47" t="s">
        <v>176</v>
      </c>
      <c r="O14" s="48" t="s">
        <v>177</v>
      </c>
      <c r="P14" s="49" t="s">
        <v>178</v>
      </c>
    </row>
    <row r="15" spans="1:16" ht="12.75" customHeight="1" thickBot="1" x14ac:dyDescent="0.25">
      <c r="A15" s="9" t="str">
        <f t="shared" si="0"/>
        <v>BAVM 186 </v>
      </c>
      <c r="B15" s="15" t="str">
        <f t="shared" si="1"/>
        <v>I</v>
      </c>
      <c r="C15" s="9">
        <f t="shared" si="2"/>
        <v>54241.504999999997</v>
      </c>
      <c r="D15" s="13" t="str">
        <f t="shared" si="3"/>
        <v>vis</v>
      </c>
      <c r="E15" s="45">
        <f>VLOOKUP(C15,Active!C$21:E$973,3,FALSE)</f>
        <v>8047.0455285961152</v>
      </c>
      <c r="F15" s="15" t="s">
        <v>57</v>
      </c>
      <c r="G15" s="13" t="str">
        <f t="shared" si="4"/>
        <v>54241.5050</v>
      </c>
      <c r="H15" s="9">
        <f t="shared" si="5"/>
        <v>8047</v>
      </c>
      <c r="I15" s="46" t="s">
        <v>182</v>
      </c>
      <c r="J15" s="47" t="s">
        <v>183</v>
      </c>
      <c r="K15" s="46">
        <v>8047</v>
      </c>
      <c r="L15" s="46" t="s">
        <v>184</v>
      </c>
      <c r="M15" s="47" t="s">
        <v>185</v>
      </c>
      <c r="N15" s="47" t="s">
        <v>186</v>
      </c>
      <c r="O15" s="48" t="s">
        <v>187</v>
      </c>
      <c r="P15" s="49" t="s">
        <v>188</v>
      </c>
    </row>
    <row r="16" spans="1:16" ht="12.75" customHeight="1" thickBot="1" x14ac:dyDescent="0.25">
      <c r="A16" s="9" t="str">
        <f t="shared" si="0"/>
        <v>BAVM 220 </v>
      </c>
      <c r="B16" s="15" t="str">
        <f t="shared" si="1"/>
        <v>I</v>
      </c>
      <c r="C16" s="9">
        <f t="shared" si="2"/>
        <v>55691.44</v>
      </c>
      <c r="D16" s="13" t="str">
        <f t="shared" si="3"/>
        <v>vis</v>
      </c>
      <c r="E16" s="45">
        <f>VLOOKUP(C16,Active!C$21:E$973,3,FALSE)</f>
        <v>8645.0481104333467</v>
      </c>
      <c r="F16" s="15" t="s">
        <v>57</v>
      </c>
      <c r="G16" s="13" t="str">
        <f t="shared" si="4"/>
        <v>55691.4400</v>
      </c>
      <c r="H16" s="9">
        <f t="shared" si="5"/>
        <v>8645</v>
      </c>
      <c r="I16" s="46" t="s">
        <v>199</v>
      </c>
      <c r="J16" s="47" t="s">
        <v>200</v>
      </c>
      <c r="K16" s="46" t="s">
        <v>201</v>
      </c>
      <c r="L16" s="46" t="s">
        <v>202</v>
      </c>
      <c r="M16" s="47" t="s">
        <v>185</v>
      </c>
      <c r="N16" s="47" t="s">
        <v>186</v>
      </c>
      <c r="O16" s="48" t="s">
        <v>187</v>
      </c>
      <c r="P16" s="49" t="s">
        <v>203</v>
      </c>
    </row>
    <row r="17" spans="1:16" ht="12.75" customHeight="1" thickBot="1" x14ac:dyDescent="0.25">
      <c r="A17" s="9" t="str">
        <f t="shared" si="0"/>
        <v>BAVM 239 </v>
      </c>
      <c r="B17" s="15" t="str">
        <f t="shared" si="1"/>
        <v>II</v>
      </c>
      <c r="C17" s="9">
        <f t="shared" si="2"/>
        <v>56856.497100000001</v>
      </c>
      <c r="D17" s="13" t="str">
        <f t="shared" si="3"/>
        <v>vis</v>
      </c>
      <c r="E17" s="45">
        <f>VLOOKUP(C17,Active!C$21:E$973,3,FALSE)</f>
        <v>9125.5573427698255</v>
      </c>
      <c r="F17" s="15" t="s">
        <v>57</v>
      </c>
      <c r="G17" s="13" t="str">
        <f t="shared" si="4"/>
        <v>56856.4971</v>
      </c>
      <c r="H17" s="9">
        <f t="shared" si="5"/>
        <v>9125.5</v>
      </c>
      <c r="I17" s="46" t="s">
        <v>210</v>
      </c>
      <c r="J17" s="47" t="s">
        <v>211</v>
      </c>
      <c r="K17" s="46" t="s">
        <v>212</v>
      </c>
      <c r="L17" s="46" t="s">
        <v>213</v>
      </c>
      <c r="M17" s="47" t="s">
        <v>185</v>
      </c>
      <c r="N17" s="47" t="s">
        <v>197</v>
      </c>
      <c r="O17" s="48" t="s">
        <v>198</v>
      </c>
      <c r="P17" s="49" t="s">
        <v>214</v>
      </c>
    </row>
    <row r="18" spans="1:16" ht="12.75" customHeight="1" thickBot="1" x14ac:dyDescent="0.25">
      <c r="A18" s="9" t="str">
        <f t="shared" si="0"/>
        <v> VSS 1.305 </v>
      </c>
      <c r="B18" s="15" t="str">
        <f t="shared" si="1"/>
        <v>I</v>
      </c>
      <c r="C18" s="9">
        <f t="shared" si="2"/>
        <v>28775.439999999999</v>
      </c>
      <c r="D18" s="13" t="str">
        <f t="shared" si="3"/>
        <v>vis</v>
      </c>
      <c r="E18" s="45">
        <f>VLOOKUP(C18,Active!C$21:E$973,3,FALSE)</f>
        <v>-2456.0271051665609</v>
      </c>
      <c r="F18" s="15" t="s">
        <v>57</v>
      </c>
      <c r="G18" s="13" t="str">
        <f t="shared" si="4"/>
        <v>28775.44</v>
      </c>
      <c r="H18" s="9">
        <f t="shared" si="5"/>
        <v>-2456</v>
      </c>
      <c r="I18" s="46" t="s">
        <v>60</v>
      </c>
      <c r="J18" s="47" t="s">
        <v>61</v>
      </c>
      <c r="K18" s="46">
        <v>-2456</v>
      </c>
      <c r="L18" s="46" t="s">
        <v>62</v>
      </c>
      <c r="M18" s="47" t="s">
        <v>63</v>
      </c>
      <c r="N18" s="47"/>
      <c r="O18" s="48" t="s">
        <v>64</v>
      </c>
      <c r="P18" s="48" t="s">
        <v>65</v>
      </c>
    </row>
    <row r="19" spans="1:16" ht="12.75" customHeight="1" thickBot="1" x14ac:dyDescent="0.25">
      <c r="A19" s="9" t="str">
        <f t="shared" si="0"/>
        <v> VB 5.12 </v>
      </c>
      <c r="B19" s="15" t="str">
        <f t="shared" si="1"/>
        <v>I</v>
      </c>
      <c r="C19" s="9">
        <f t="shared" si="2"/>
        <v>29112.441999999999</v>
      </c>
      <c r="D19" s="13" t="str">
        <f t="shared" si="3"/>
        <v>vis</v>
      </c>
      <c r="E19" s="45">
        <f>VLOOKUP(C19,Active!C$21:E$973,3,FALSE)</f>
        <v>-2317.0360013692803</v>
      </c>
      <c r="F19" s="15" t="s">
        <v>57</v>
      </c>
      <c r="G19" s="13" t="str">
        <f t="shared" si="4"/>
        <v>29112.442</v>
      </c>
      <c r="H19" s="9">
        <f t="shared" si="5"/>
        <v>-2317</v>
      </c>
      <c r="I19" s="46" t="s">
        <v>66</v>
      </c>
      <c r="J19" s="47" t="s">
        <v>67</v>
      </c>
      <c r="K19" s="46">
        <v>-2317</v>
      </c>
      <c r="L19" s="46" t="s">
        <v>68</v>
      </c>
      <c r="M19" s="47" t="s">
        <v>63</v>
      </c>
      <c r="N19" s="47"/>
      <c r="O19" s="48" t="s">
        <v>69</v>
      </c>
      <c r="P19" s="48" t="s">
        <v>70</v>
      </c>
    </row>
    <row r="20" spans="1:16" ht="12.75" customHeight="1" thickBot="1" x14ac:dyDescent="0.25">
      <c r="A20" s="9" t="str">
        <f t="shared" si="0"/>
        <v> VB 5.12 </v>
      </c>
      <c r="B20" s="15" t="str">
        <f t="shared" si="1"/>
        <v>I</v>
      </c>
      <c r="C20" s="9">
        <f t="shared" si="2"/>
        <v>29112.464</v>
      </c>
      <c r="D20" s="13" t="str">
        <f t="shared" si="3"/>
        <v>vis</v>
      </c>
      <c r="E20" s="45">
        <f>VLOOKUP(C20,Active!C$21:E$973,3,FALSE)</f>
        <v>-2317.0269278199135</v>
      </c>
      <c r="F20" s="15" t="s">
        <v>57</v>
      </c>
      <c r="G20" s="13" t="str">
        <f t="shared" si="4"/>
        <v>29112.464</v>
      </c>
      <c r="H20" s="9">
        <f t="shared" si="5"/>
        <v>-2317</v>
      </c>
      <c r="I20" s="46" t="s">
        <v>71</v>
      </c>
      <c r="J20" s="47" t="s">
        <v>72</v>
      </c>
      <c r="K20" s="46">
        <v>-2317</v>
      </c>
      <c r="L20" s="46" t="s">
        <v>73</v>
      </c>
      <c r="M20" s="47" t="s">
        <v>63</v>
      </c>
      <c r="N20" s="47"/>
      <c r="O20" s="48" t="s">
        <v>69</v>
      </c>
      <c r="P20" s="48" t="s">
        <v>70</v>
      </c>
    </row>
    <row r="21" spans="1:16" ht="12.75" customHeight="1" thickBot="1" x14ac:dyDescent="0.25">
      <c r="A21" s="9" t="str">
        <f t="shared" si="0"/>
        <v> VSS 1.305 </v>
      </c>
      <c r="B21" s="15" t="str">
        <f t="shared" si="1"/>
        <v>I</v>
      </c>
      <c r="C21" s="9">
        <f t="shared" si="2"/>
        <v>29163.38</v>
      </c>
      <c r="D21" s="13" t="str">
        <f t="shared" si="3"/>
        <v>vis</v>
      </c>
      <c r="E21" s="45">
        <f>VLOOKUP(C21,Active!C$21:E$973,3,FALSE)</f>
        <v>-2296.0274351138096</v>
      </c>
      <c r="F21" s="15" t="s">
        <v>57</v>
      </c>
      <c r="G21" s="13" t="str">
        <f t="shared" si="4"/>
        <v>29163.38</v>
      </c>
      <c r="H21" s="9">
        <f t="shared" si="5"/>
        <v>-2296</v>
      </c>
      <c r="I21" s="46" t="s">
        <v>74</v>
      </c>
      <c r="J21" s="47" t="s">
        <v>75</v>
      </c>
      <c r="K21" s="46">
        <v>-2296</v>
      </c>
      <c r="L21" s="46" t="s">
        <v>62</v>
      </c>
      <c r="M21" s="47" t="s">
        <v>63</v>
      </c>
      <c r="N21" s="47"/>
      <c r="O21" s="48" t="s">
        <v>64</v>
      </c>
      <c r="P21" s="48" t="s">
        <v>65</v>
      </c>
    </row>
    <row r="22" spans="1:16" ht="12.75" customHeight="1" thickBot="1" x14ac:dyDescent="0.25">
      <c r="A22" s="9" t="str">
        <f t="shared" si="0"/>
        <v> VSS 1.305 </v>
      </c>
      <c r="B22" s="15" t="str">
        <f t="shared" si="1"/>
        <v>I</v>
      </c>
      <c r="C22" s="9">
        <f t="shared" si="2"/>
        <v>29231.279999999999</v>
      </c>
      <c r="D22" s="13" t="str">
        <f t="shared" si="3"/>
        <v>vis</v>
      </c>
      <c r="E22" s="45">
        <f>VLOOKUP(C22,Active!C$21:E$973,3,FALSE)</f>
        <v>-2268.0231622969272</v>
      </c>
      <c r="F22" s="15" t="s">
        <v>57</v>
      </c>
      <c r="G22" s="13" t="str">
        <f t="shared" si="4"/>
        <v>29231.28</v>
      </c>
      <c r="H22" s="9">
        <f t="shared" si="5"/>
        <v>-2268</v>
      </c>
      <c r="I22" s="46" t="s">
        <v>76</v>
      </c>
      <c r="J22" s="47" t="s">
        <v>77</v>
      </c>
      <c r="K22" s="46">
        <v>-2268</v>
      </c>
      <c r="L22" s="46" t="s">
        <v>78</v>
      </c>
      <c r="M22" s="47" t="s">
        <v>63</v>
      </c>
      <c r="N22" s="47"/>
      <c r="O22" s="48" t="s">
        <v>64</v>
      </c>
      <c r="P22" s="48" t="s">
        <v>65</v>
      </c>
    </row>
    <row r="23" spans="1:16" ht="12.75" customHeight="1" thickBot="1" x14ac:dyDescent="0.25">
      <c r="A23" s="9" t="str">
        <f t="shared" si="0"/>
        <v> VSS 1.305 </v>
      </c>
      <c r="B23" s="15" t="str">
        <f t="shared" si="1"/>
        <v>I</v>
      </c>
      <c r="C23" s="9">
        <f t="shared" si="2"/>
        <v>29352.62</v>
      </c>
      <c r="D23" s="13" t="str">
        <f t="shared" si="3"/>
        <v>vis</v>
      </c>
      <c r="E23" s="45">
        <f>VLOOKUP(C23,Active!C$21:E$973,3,FALSE)</f>
        <v>-2217.9784132011887</v>
      </c>
      <c r="F23" s="15" t="s">
        <v>57</v>
      </c>
      <c r="G23" s="13" t="str">
        <f t="shared" si="4"/>
        <v>29352.62</v>
      </c>
      <c r="H23" s="9">
        <f t="shared" si="5"/>
        <v>-2218</v>
      </c>
      <c r="I23" s="46" t="s">
        <v>79</v>
      </c>
      <c r="J23" s="47" t="s">
        <v>80</v>
      </c>
      <c r="K23" s="46">
        <v>-2218</v>
      </c>
      <c r="L23" s="46" t="s">
        <v>81</v>
      </c>
      <c r="M23" s="47" t="s">
        <v>63</v>
      </c>
      <c r="N23" s="47"/>
      <c r="O23" s="48" t="s">
        <v>64</v>
      </c>
      <c r="P23" s="48" t="s">
        <v>65</v>
      </c>
    </row>
    <row r="24" spans="1:16" ht="12.75" customHeight="1" thickBot="1" x14ac:dyDescent="0.25">
      <c r="A24" s="9" t="str">
        <f t="shared" si="0"/>
        <v> VSS 1.305 </v>
      </c>
      <c r="B24" s="15" t="str">
        <f t="shared" si="1"/>
        <v>I</v>
      </c>
      <c r="C24" s="9">
        <f t="shared" si="2"/>
        <v>29488.400000000001</v>
      </c>
      <c r="D24" s="13" t="str">
        <f t="shared" si="3"/>
        <v>vis</v>
      </c>
      <c r="E24" s="45">
        <f>VLOOKUP(C24,Active!C$21:E$973,3,FALSE)</f>
        <v>-2161.9781162486629</v>
      </c>
      <c r="F24" s="15" t="s">
        <v>57</v>
      </c>
      <c r="G24" s="13" t="str">
        <f t="shared" si="4"/>
        <v>29488.40</v>
      </c>
      <c r="H24" s="9">
        <f t="shared" si="5"/>
        <v>-2162</v>
      </c>
      <c r="I24" s="46" t="s">
        <v>82</v>
      </c>
      <c r="J24" s="47" t="s">
        <v>83</v>
      </c>
      <c r="K24" s="46">
        <v>-2162</v>
      </c>
      <c r="L24" s="46" t="s">
        <v>81</v>
      </c>
      <c r="M24" s="47" t="s">
        <v>63</v>
      </c>
      <c r="N24" s="47"/>
      <c r="O24" s="48" t="s">
        <v>64</v>
      </c>
      <c r="P24" s="48" t="s">
        <v>65</v>
      </c>
    </row>
    <row r="25" spans="1:16" ht="12.75" customHeight="1" thickBot="1" x14ac:dyDescent="0.25">
      <c r="A25" s="9" t="str">
        <f t="shared" si="0"/>
        <v> VSS 1.305 </v>
      </c>
      <c r="B25" s="15" t="str">
        <f t="shared" si="1"/>
        <v>I</v>
      </c>
      <c r="C25" s="9">
        <f t="shared" si="2"/>
        <v>29910.31</v>
      </c>
      <c r="D25" s="13" t="str">
        <f t="shared" si="3"/>
        <v>vis</v>
      </c>
      <c r="E25" s="45">
        <f>VLOOKUP(C25,Active!C$21:E$973,3,FALSE)</f>
        <v>-1987.9680611062288</v>
      </c>
      <c r="F25" s="15" t="s">
        <v>57</v>
      </c>
      <c r="G25" s="13" t="str">
        <f t="shared" si="4"/>
        <v>29910.31</v>
      </c>
      <c r="H25" s="9">
        <f t="shared" si="5"/>
        <v>-1988</v>
      </c>
      <c r="I25" s="46" t="s">
        <v>84</v>
      </c>
      <c r="J25" s="47" t="s">
        <v>85</v>
      </c>
      <c r="K25" s="46">
        <v>-1988</v>
      </c>
      <c r="L25" s="46" t="s">
        <v>86</v>
      </c>
      <c r="M25" s="47" t="s">
        <v>63</v>
      </c>
      <c r="N25" s="47"/>
      <c r="O25" s="48" t="s">
        <v>64</v>
      </c>
      <c r="P25" s="48" t="s">
        <v>65</v>
      </c>
    </row>
    <row r="26" spans="1:16" ht="12.75" customHeight="1" thickBot="1" x14ac:dyDescent="0.25">
      <c r="A26" s="9" t="str">
        <f t="shared" si="0"/>
        <v> VSS 1.305 </v>
      </c>
      <c r="B26" s="15" t="str">
        <f t="shared" si="1"/>
        <v>I</v>
      </c>
      <c r="C26" s="9">
        <f t="shared" si="2"/>
        <v>30145.47</v>
      </c>
      <c r="D26" s="13" t="str">
        <f t="shared" si="3"/>
        <v>vis</v>
      </c>
      <c r="E26" s="45">
        <f>VLOOKUP(C26,Active!C$21:E$973,3,FALSE)</f>
        <v>-1890.9800670617767</v>
      </c>
      <c r="F26" s="15" t="s">
        <v>57</v>
      </c>
      <c r="G26" s="13" t="str">
        <f t="shared" si="4"/>
        <v>30145.47</v>
      </c>
      <c r="H26" s="9">
        <f t="shared" si="5"/>
        <v>-1891</v>
      </c>
      <c r="I26" s="46" t="s">
        <v>87</v>
      </c>
      <c r="J26" s="47" t="s">
        <v>88</v>
      </c>
      <c r="K26" s="46">
        <v>-1891</v>
      </c>
      <c r="L26" s="46" t="s">
        <v>81</v>
      </c>
      <c r="M26" s="47" t="s">
        <v>63</v>
      </c>
      <c r="N26" s="47"/>
      <c r="O26" s="48" t="s">
        <v>64</v>
      </c>
      <c r="P26" s="48" t="s">
        <v>65</v>
      </c>
    </row>
    <row r="27" spans="1:16" ht="12.75" customHeight="1" thickBot="1" x14ac:dyDescent="0.25">
      <c r="A27" s="9" t="str">
        <f t="shared" si="0"/>
        <v> MVS 308 </v>
      </c>
      <c r="B27" s="15" t="str">
        <f t="shared" si="1"/>
        <v>I</v>
      </c>
      <c r="C27" s="9">
        <f t="shared" si="2"/>
        <v>30465.505000000001</v>
      </c>
      <c r="D27" s="13" t="str">
        <f t="shared" si="3"/>
        <v>vis</v>
      </c>
      <c r="E27" s="45">
        <f>VLOOKUP(C27,Active!C$21:E$973,3,FALSE)</f>
        <v>-1758.9867319962204</v>
      </c>
      <c r="F27" s="15" t="s">
        <v>57</v>
      </c>
      <c r="G27" s="13" t="str">
        <f t="shared" si="4"/>
        <v>30465.505</v>
      </c>
      <c r="H27" s="9">
        <f t="shared" si="5"/>
        <v>-1759</v>
      </c>
      <c r="I27" s="46" t="s">
        <v>89</v>
      </c>
      <c r="J27" s="47" t="s">
        <v>90</v>
      </c>
      <c r="K27" s="46">
        <v>-1759</v>
      </c>
      <c r="L27" s="46" t="s">
        <v>91</v>
      </c>
      <c r="M27" s="47" t="s">
        <v>63</v>
      </c>
      <c r="N27" s="47"/>
      <c r="O27" s="48" t="s">
        <v>92</v>
      </c>
      <c r="P27" s="48" t="s">
        <v>93</v>
      </c>
    </row>
    <row r="28" spans="1:16" ht="12.75" customHeight="1" thickBot="1" x14ac:dyDescent="0.25">
      <c r="A28" s="9" t="str">
        <f t="shared" si="0"/>
        <v> MVS 308 </v>
      </c>
      <c r="B28" s="15" t="str">
        <f t="shared" si="1"/>
        <v>I</v>
      </c>
      <c r="C28" s="9">
        <f t="shared" si="2"/>
        <v>33811.508999999998</v>
      </c>
      <c r="D28" s="13" t="str">
        <f t="shared" si="3"/>
        <v>vis</v>
      </c>
      <c r="E28" s="45">
        <f>VLOOKUP(C28,Active!C$21:E$973,3,FALSE)</f>
        <v>-378.98071045891498</v>
      </c>
      <c r="F28" s="15" t="s">
        <v>57</v>
      </c>
      <c r="G28" s="13" t="str">
        <f t="shared" si="4"/>
        <v>33811.509</v>
      </c>
      <c r="H28" s="9">
        <f t="shared" si="5"/>
        <v>-379</v>
      </c>
      <c r="I28" s="46" t="s">
        <v>94</v>
      </c>
      <c r="J28" s="47" t="s">
        <v>95</v>
      </c>
      <c r="K28" s="46">
        <v>-379</v>
      </c>
      <c r="L28" s="46" t="s">
        <v>96</v>
      </c>
      <c r="M28" s="47" t="s">
        <v>63</v>
      </c>
      <c r="N28" s="47"/>
      <c r="O28" s="48" t="s">
        <v>92</v>
      </c>
      <c r="P28" s="48" t="s">
        <v>93</v>
      </c>
    </row>
    <row r="29" spans="1:16" ht="12.75" customHeight="1" thickBot="1" x14ac:dyDescent="0.25">
      <c r="A29" s="9" t="str">
        <f t="shared" si="0"/>
        <v> MVS 308 </v>
      </c>
      <c r="B29" s="15" t="str">
        <f t="shared" si="1"/>
        <v>I</v>
      </c>
      <c r="C29" s="9">
        <f t="shared" si="2"/>
        <v>33891.470999999998</v>
      </c>
      <c r="D29" s="13" t="str">
        <f t="shared" si="3"/>
        <v>vis</v>
      </c>
      <c r="E29" s="45">
        <f>VLOOKUP(C29,Active!C$21:E$973,3,FALSE)</f>
        <v>-346.00165798492941</v>
      </c>
      <c r="F29" s="15" t="s">
        <v>57</v>
      </c>
      <c r="G29" s="13" t="str">
        <f t="shared" si="4"/>
        <v>33891.471</v>
      </c>
      <c r="H29" s="9">
        <f t="shared" si="5"/>
        <v>-346</v>
      </c>
      <c r="I29" s="46" t="s">
        <v>97</v>
      </c>
      <c r="J29" s="47" t="s">
        <v>98</v>
      </c>
      <c r="K29" s="46">
        <v>-346</v>
      </c>
      <c r="L29" s="46" t="s">
        <v>99</v>
      </c>
      <c r="M29" s="47" t="s">
        <v>63</v>
      </c>
      <c r="N29" s="47"/>
      <c r="O29" s="48" t="s">
        <v>92</v>
      </c>
      <c r="P29" s="48" t="s">
        <v>93</v>
      </c>
    </row>
    <row r="30" spans="1:16" ht="12.75" customHeight="1" thickBot="1" x14ac:dyDescent="0.25">
      <c r="A30" s="9" t="str">
        <f t="shared" si="0"/>
        <v> MVS 308 </v>
      </c>
      <c r="B30" s="15" t="str">
        <f t="shared" si="1"/>
        <v>I</v>
      </c>
      <c r="C30" s="9">
        <f t="shared" si="2"/>
        <v>35244.447</v>
      </c>
      <c r="D30" s="13" t="str">
        <f t="shared" si="3"/>
        <v>vis</v>
      </c>
      <c r="E30" s="45">
        <f>VLOOKUP(C30,Active!C$21:E$973,3,FALSE)</f>
        <v>212.01172962472745</v>
      </c>
      <c r="F30" s="15" t="s">
        <v>57</v>
      </c>
      <c r="G30" s="13" t="str">
        <f t="shared" si="4"/>
        <v>35244.447</v>
      </c>
      <c r="H30" s="9">
        <f t="shared" si="5"/>
        <v>212</v>
      </c>
      <c r="I30" s="46" t="s">
        <v>100</v>
      </c>
      <c r="J30" s="47" t="s">
        <v>101</v>
      </c>
      <c r="K30" s="46">
        <v>212</v>
      </c>
      <c r="L30" s="46" t="s">
        <v>102</v>
      </c>
      <c r="M30" s="47" t="s">
        <v>63</v>
      </c>
      <c r="N30" s="47"/>
      <c r="O30" s="48" t="s">
        <v>92</v>
      </c>
      <c r="P30" s="48" t="s">
        <v>93</v>
      </c>
    </row>
    <row r="31" spans="1:16" ht="12.75" customHeight="1" thickBot="1" x14ac:dyDescent="0.25">
      <c r="A31" s="9" t="str">
        <f t="shared" si="0"/>
        <v> MVS 308 </v>
      </c>
      <c r="B31" s="15" t="str">
        <f t="shared" si="1"/>
        <v>I</v>
      </c>
      <c r="C31" s="9">
        <f t="shared" si="2"/>
        <v>35375.413</v>
      </c>
      <c r="D31" s="13" t="str">
        <f t="shared" si="3"/>
        <v>vis</v>
      </c>
      <c r="E31" s="45">
        <f>VLOOKUP(C31,Active!C$21:E$973,3,FALSE)</f>
        <v>266.02656900228209</v>
      </c>
      <c r="F31" s="15" t="s">
        <v>57</v>
      </c>
      <c r="G31" s="13" t="str">
        <f t="shared" si="4"/>
        <v>35375.413</v>
      </c>
      <c r="H31" s="9">
        <f t="shared" si="5"/>
        <v>266</v>
      </c>
      <c r="I31" s="46" t="s">
        <v>103</v>
      </c>
      <c r="J31" s="47" t="s">
        <v>104</v>
      </c>
      <c r="K31" s="46">
        <v>266</v>
      </c>
      <c r="L31" s="46" t="s">
        <v>105</v>
      </c>
      <c r="M31" s="47" t="s">
        <v>63</v>
      </c>
      <c r="N31" s="47"/>
      <c r="O31" s="48" t="s">
        <v>92</v>
      </c>
      <c r="P31" s="48" t="s">
        <v>93</v>
      </c>
    </row>
    <row r="32" spans="1:16" ht="12.75" customHeight="1" thickBot="1" x14ac:dyDescent="0.25">
      <c r="A32" s="9" t="str">
        <f t="shared" si="0"/>
        <v> MVS 308 </v>
      </c>
      <c r="B32" s="15" t="str">
        <f t="shared" si="1"/>
        <v>I</v>
      </c>
      <c r="C32" s="9">
        <f t="shared" si="2"/>
        <v>35455.302000000003</v>
      </c>
      <c r="D32" s="13" t="str">
        <f t="shared" si="3"/>
        <v>vis</v>
      </c>
      <c r="E32" s="45">
        <f>VLOOKUP(C32,Active!C$21:E$973,3,FALSE)</f>
        <v>298.97551378973537</v>
      </c>
      <c r="F32" s="15" t="s">
        <v>57</v>
      </c>
      <c r="G32" s="13" t="str">
        <f t="shared" si="4"/>
        <v>35455.302</v>
      </c>
      <c r="H32" s="9">
        <f t="shared" si="5"/>
        <v>299</v>
      </c>
      <c r="I32" s="46" t="s">
        <v>106</v>
      </c>
      <c r="J32" s="47" t="s">
        <v>107</v>
      </c>
      <c r="K32" s="46">
        <v>299</v>
      </c>
      <c r="L32" s="46" t="s">
        <v>108</v>
      </c>
      <c r="M32" s="47" t="s">
        <v>63</v>
      </c>
      <c r="N32" s="47"/>
      <c r="O32" s="48" t="s">
        <v>92</v>
      </c>
      <c r="P32" s="48" t="s">
        <v>93</v>
      </c>
    </row>
    <row r="33" spans="1:16" ht="12.75" customHeight="1" thickBot="1" x14ac:dyDescent="0.25">
      <c r="A33" s="9" t="str">
        <f t="shared" si="0"/>
        <v> MVS 308 </v>
      </c>
      <c r="B33" s="15" t="str">
        <f t="shared" si="1"/>
        <v>I</v>
      </c>
      <c r="C33" s="9">
        <f t="shared" si="2"/>
        <v>35542.641000000003</v>
      </c>
      <c r="D33" s="13" t="str">
        <f t="shared" si="3"/>
        <v>vis</v>
      </c>
      <c r="E33" s="45">
        <f>VLOOKUP(C33,Active!C$21:E$973,3,FALSE)</f>
        <v>334.99709233986465</v>
      </c>
      <c r="F33" s="15" t="s">
        <v>57</v>
      </c>
      <c r="G33" s="13" t="str">
        <f t="shared" si="4"/>
        <v>35542.641</v>
      </c>
      <c r="H33" s="9">
        <f t="shared" si="5"/>
        <v>335</v>
      </c>
      <c r="I33" s="46" t="s">
        <v>109</v>
      </c>
      <c r="J33" s="47" t="s">
        <v>110</v>
      </c>
      <c r="K33" s="46">
        <v>335</v>
      </c>
      <c r="L33" s="46" t="s">
        <v>111</v>
      </c>
      <c r="M33" s="47" t="s">
        <v>63</v>
      </c>
      <c r="N33" s="47"/>
      <c r="O33" s="48" t="s">
        <v>92</v>
      </c>
      <c r="P33" s="48" t="s">
        <v>93</v>
      </c>
    </row>
    <row r="34" spans="1:16" ht="12.75" customHeight="1" thickBot="1" x14ac:dyDescent="0.25">
      <c r="A34" s="9" t="str">
        <f t="shared" si="0"/>
        <v> MHAR 1 </v>
      </c>
      <c r="B34" s="15" t="str">
        <f t="shared" si="1"/>
        <v>I</v>
      </c>
      <c r="C34" s="9">
        <f t="shared" si="2"/>
        <v>36112.428</v>
      </c>
      <c r="D34" s="13" t="str">
        <f t="shared" si="3"/>
        <v>vis</v>
      </c>
      <c r="E34" s="45">
        <f>VLOOKUP(C34,Active!C$21:E$973,3,FALSE)</f>
        <v>569.99665928409809</v>
      </c>
      <c r="F34" s="15" t="s">
        <v>57</v>
      </c>
      <c r="G34" s="13" t="str">
        <f t="shared" si="4"/>
        <v>36112.428</v>
      </c>
      <c r="H34" s="9">
        <f t="shared" si="5"/>
        <v>570</v>
      </c>
      <c r="I34" s="46" t="s">
        <v>112</v>
      </c>
      <c r="J34" s="47" t="s">
        <v>113</v>
      </c>
      <c r="K34" s="46">
        <v>570</v>
      </c>
      <c r="L34" s="46" t="s">
        <v>114</v>
      </c>
      <c r="M34" s="47" t="s">
        <v>63</v>
      </c>
      <c r="N34" s="47"/>
      <c r="O34" s="48" t="s">
        <v>115</v>
      </c>
      <c r="P34" s="48" t="s">
        <v>116</v>
      </c>
    </row>
    <row r="35" spans="1:16" ht="12.75" customHeight="1" thickBot="1" x14ac:dyDescent="0.25">
      <c r="A35" s="9" t="str">
        <f t="shared" si="0"/>
        <v> MVS 308 </v>
      </c>
      <c r="B35" s="15" t="str">
        <f t="shared" si="1"/>
        <v>I</v>
      </c>
      <c r="C35" s="9">
        <f t="shared" si="2"/>
        <v>36318.46</v>
      </c>
      <c r="D35" s="13" t="str">
        <f t="shared" si="3"/>
        <v>vis</v>
      </c>
      <c r="E35" s="45">
        <f>VLOOKUP(C35,Active!C$21:E$973,3,FALSE)</f>
        <v>654.97127396757526</v>
      </c>
      <c r="F35" s="15" t="s">
        <v>57</v>
      </c>
      <c r="G35" s="13" t="str">
        <f t="shared" si="4"/>
        <v>36318.460</v>
      </c>
      <c r="H35" s="9">
        <f t="shared" si="5"/>
        <v>655</v>
      </c>
      <c r="I35" s="46" t="s">
        <v>117</v>
      </c>
      <c r="J35" s="47" t="s">
        <v>118</v>
      </c>
      <c r="K35" s="46">
        <v>655</v>
      </c>
      <c r="L35" s="46" t="s">
        <v>119</v>
      </c>
      <c r="M35" s="47" t="s">
        <v>63</v>
      </c>
      <c r="N35" s="47"/>
      <c r="O35" s="48" t="s">
        <v>92</v>
      </c>
      <c r="P35" s="48" t="s">
        <v>93</v>
      </c>
    </row>
    <row r="36" spans="1:16" ht="12.75" customHeight="1" thickBot="1" x14ac:dyDescent="0.25">
      <c r="A36" s="9" t="str">
        <f t="shared" si="0"/>
        <v> VB 5.12 </v>
      </c>
      <c r="B36" s="15" t="str">
        <f t="shared" si="1"/>
        <v>I</v>
      </c>
      <c r="C36" s="9">
        <f t="shared" si="2"/>
        <v>36820.381999999998</v>
      </c>
      <c r="D36" s="13" t="str">
        <f t="shared" si="3"/>
        <v>vis</v>
      </c>
      <c r="E36" s="45">
        <f>VLOOKUP(C36,Active!C$21:E$973,3,FALSE)</f>
        <v>861.98100328709972</v>
      </c>
      <c r="F36" s="15" t="s">
        <v>57</v>
      </c>
      <c r="G36" s="13" t="str">
        <f t="shared" si="4"/>
        <v>36820.382</v>
      </c>
      <c r="H36" s="9">
        <f t="shared" si="5"/>
        <v>862</v>
      </c>
      <c r="I36" s="46" t="s">
        <v>120</v>
      </c>
      <c r="J36" s="47" t="s">
        <v>121</v>
      </c>
      <c r="K36" s="46">
        <v>862</v>
      </c>
      <c r="L36" s="46" t="s">
        <v>122</v>
      </c>
      <c r="M36" s="47" t="s">
        <v>63</v>
      </c>
      <c r="N36" s="47"/>
      <c r="O36" s="48" t="s">
        <v>69</v>
      </c>
      <c r="P36" s="48" t="s">
        <v>70</v>
      </c>
    </row>
    <row r="37" spans="1:16" ht="12.75" customHeight="1" thickBot="1" x14ac:dyDescent="0.25">
      <c r="A37" s="9" t="str">
        <f t="shared" si="0"/>
        <v> VB 5.12 </v>
      </c>
      <c r="B37" s="15" t="str">
        <f t="shared" si="1"/>
        <v>I</v>
      </c>
      <c r="C37" s="9">
        <f t="shared" si="2"/>
        <v>36837.33</v>
      </c>
      <c r="D37" s="13" t="str">
        <f t="shared" si="3"/>
        <v>vis</v>
      </c>
      <c r="E37" s="45">
        <f>VLOOKUP(C37,Active!C$21:E$973,3,FALSE)</f>
        <v>868.97093577164537</v>
      </c>
      <c r="F37" s="15" t="s">
        <v>57</v>
      </c>
      <c r="G37" s="13" t="str">
        <f t="shared" si="4"/>
        <v>36837.330</v>
      </c>
      <c r="H37" s="9">
        <f t="shared" si="5"/>
        <v>869</v>
      </c>
      <c r="I37" s="46" t="s">
        <v>123</v>
      </c>
      <c r="J37" s="47" t="s">
        <v>124</v>
      </c>
      <c r="K37" s="46">
        <v>869</v>
      </c>
      <c r="L37" s="46" t="s">
        <v>119</v>
      </c>
      <c r="M37" s="47" t="s">
        <v>63</v>
      </c>
      <c r="N37" s="47"/>
      <c r="O37" s="48" t="s">
        <v>69</v>
      </c>
      <c r="P37" s="48" t="s">
        <v>70</v>
      </c>
    </row>
    <row r="38" spans="1:16" ht="12.75" customHeight="1" thickBot="1" x14ac:dyDescent="0.25">
      <c r="A38" s="9" t="str">
        <f t="shared" si="0"/>
        <v> VB 5.12 </v>
      </c>
      <c r="B38" s="15" t="str">
        <f t="shared" si="1"/>
        <v>I</v>
      </c>
      <c r="C38" s="9">
        <f t="shared" si="2"/>
        <v>37174.39</v>
      </c>
      <c r="D38" s="13" t="str">
        <f t="shared" si="3"/>
        <v>vis</v>
      </c>
      <c r="E38" s="45">
        <f>VLOOKUP(C38,Active!C$21:E$973,3,FALSE)</f>
        <v>1007.9859607445269</v>
      </c>
      <c r="F38" s="15" t="s">
        <v>57</v>
      </c>
      <c r="G38" s="13" t="str">
        <f t="shared" si="4"/>
        <v>37174.390</v>
      </c>
      <c r="H38" s="9">
        <f t="shared" si="5"/>
        <v>1008</v>
      </c>
      <c r="I38" s="46" t="s">
        <v>125</v>
      </c>
      <c r="J38" s="47" t="s">
        <v>126</v>
      </c>
      <c r="K38" s="46">
        <v>1008</v>
      </c>
      <c r="L38" s="46" t="s">
        <v>127</v>
      </c>
      <c r="M38" s="47" t="s">
        <v>63</v>
      </c>
      <c r="N38" s="47"/>
      <c r="O38" s="48" t="s">
        <v>69</v>
      </c>
      <c r="P38" s="48" t="s">
        <v>70</v>
      </c>
    </row>
    <row r="39" spans="1:16" ht="12.75" customHeight="1" thickBot="1" x14ac:dyDescent="0.25">
      <c r="A39" s="9" t="str">
        <f t="shared" si="0"/>
        <v> VB 5.12 </v>
      </c>
      <c r="B39" s="15" t="str">
        <f t="shared" si="1"/>
        <v>I</v>
      </c>
      <c r="C39" s="9">
        <f t="shared" si="2"/>
        <v>37191.358</v>
      </c>
      <c r="D39" s="13" t="str">
        <f t="shared" si="3"/>
        <v>vis</v>
      </c>
      <c r="E39" s="45">
        <f>VLOOKUP(C39,Active!C$21:E$973,3,FALSE)</f>
        <v>1014.9841419103133</v>
      </c>
      <c r="F39" s="15" t="s">
        <v>57</v>
      </c>
      <c r="G39" s="13" t="str">
        <f t="shared" si="4"/>
        <v>37191.358</v>
      </c>
      <c r="H39" s="9">
        <f t="shared" si="5"/>
        <v>1015</v>
      </c>
      <c r="I39" s="46" t="s">
        <v>128</v>
      </c>
      <c r="J39" s="47" t="s">
        <v>129</v>
      </c>
      <c r="K39" s="46">
        <v>1015</v>
      </c>
      <c r="L39" s="46" t="s">
        <v>130</v>
      </c>
      <c r="M39" s="47" t="s">
        <v>63</v>
      </c>
      <c r="N39" s="47"/>
      <c r="O39" s="48" t="s">
        <v>69</v>
      </c>
      <c r="P39" s="48" t="s">
        <v>70</v>
      </c>
    </row>
    <row r="40" spans="1:16" ht="12.75" customHeight="1" thickBot="1" x14ac:dyDescent="0.25">
      <c r="A40" s="9" t="str">
        <f t="shared" si="0"/>
        <v> MHAR 1 </v>
      </c>
      <c r="B40" s="15" t="str">
        <f t="shared" si="1"/>
        <v>I</v>
      </c>
      <c r="C40" s="9">
        <f t="shared" si="2"/>
        <v>37191.406000000003</v>
      </c>
      <c r="D40" s="13" t="str">
        <f t="shared" si="3"/>
        <v>vis</v>
      </c>
      <c r="E40" s="45">
        <f>VLOOKUP(C40,Active!C$21:E$973,3,FALSE)</f>
        <v>1015.0039387452953</v>
      </c>
      <c r="F40" s="15" t="s">
        <v>57</v>
      </c>
      <c r="G40" s="13" t="str">
        <f t="shared" si="4"/>
        <v>37191.406</v>
      </c>
      <c r="H40" s="9">
        <f t="shared" si="5"/>
        <v>1015</v>
      </c>
      <c r="I40" s="46" t="s">
        <v>131</v>
      </c>
      <c r="J40" s="47" t="s">
        <v>132</v>
      </c>
      <c r="K40" s="46">
        <v>1015</v>
      </c>
      <c r="L40" s="46" t="s">
        <v>133</v>
      </c>
      <c r="M40" s="47" t="s">
        <v>63</v>
      </c>
      <c r="N40" s="47"/>
      <c r="O40" s="48" t="s">
        <v>115</v>
      </c>
      <c r="P40" s="48" t="s">
        <v>116</v>
      </c>
    </row>
    <row r="41" spans="1:16" ht="12.75" customHeight="1" thickBot="1" x14ac:dyDescent="0.25">
      <c r="A41" s="9" t="str">
        <f t="shared" si="0"/>
        <v> MHAR 1 </v>
      </c>
      <c r="B41" s="15" t="str">
        <f t="shared" si="1"/>
        <v>I</v>
      </c>
      <c r="C41" s="9">
        <f t="shared" si="2"/>
        <v>37545.377999999997</v>
      </c>
      <c r="D41" s="13" t="str">
        <f t="shared" si="3"/>
        <v>vis</v>
      </c>
      <c r="E41" s="45">
        <f>VLOOKUP(C41,Active!C$21:E$973,3,FALSE)</f>
        <v>1160.9940485764837</v>
      </c>
      <c r="F41" s="15" t="s">
        <v>57</v>
      </c>
      <c r="G41" s="13" t="str">
        <f t="shared" si="4"/>
        <v>37545.378</v>
      </c>
      <c r="H41" s="9">
        <f t="shared" si="5"/>
        <v>1161</v>
      </c>
      <c r="I41" s="46" t="s">
        <v>134</v>
      </c>
      <c r="J41" s="47" t="s">
        <v>135</v>
      </c>
      <c r="K41" s="46">
        <v>1161</v>
      </c>
      <c r="L41" s="46" t="s">
        <v>136</v>
      </c>
      <c r="M41" s="47" t="s">
        <v>63</v>
      </c>
      <c r="N41" s="47"/>
      <c r="O41" s="48" t="s">
        <v>115</v>
      </c>
      <c r="P41" s="48" t="s">
        <v>116</v>
      </c>
    </row>
    <row r="42" spans="1:16" ht="12.75" customHeight="1" thickBot="1" x14ac:dyDescent="0.25">
      <c r="A42" s="9" t="str">
        <f t="shared" si="0"/>
        <v> MHAR 1 </v>
      </c>
      <c r="B42" s="15" t="str">
        <f t="shared" si="1"/>
        <v>I</v>
      </c>
      <c r="C42" s="9">
        <f t="shared" si="2"/>
        <v>37579.377999999997</v>
      </c>
      <c r="D42" s="13" t="str">
        <f t="shared" si="3"/>
        <v>vis</v>
      </c>
      <c r="E42" s="45">
        <f>VLOOKUP(C42,Active!C$21:E$973,3,FALSE)</f>
        <v>1175.0168066880306</v>
      </c>
      <c r="F42" s="15" t="s">
        <v>57</v>
      </c>
      <c r="G42" s="13" t="str">
        <f t="shared" si="4"/>
        <v>37579.378</v>
      </c>
      <c r="H42" s="9">
        <f t="shared" si="5"/>
        <v>1175</v>
      </c>
      <c r="I42" s="46" t="s">
        <v>137</v>
      </c>
      <c r="J42" s="47" t="s">
        <v>138</v>
      </c>
      <c r="K42" s="46">
        <v>1175</v>
      </c>
      <c r="L42" s="46" t="s">
        <v>139</v>
      </c>
      <c r="M42" s="47" t="s">
        <v>63</v>
      </c>
      <c r="N42" s="47"/>
      <c r="O42" s="48" t="s">
        <v>115</v>
      </c>
      <c r="P42" s="48" t="s">
        <v>116</v>
      </c>
    </row>
    <row r="43" spans="1:16" ht="12.75" customHeight="1" thickBot="1" x14ac:dyDescent="0.25">
      <c r="A43" s="9" t="str">
        <f t="shared" si="0"/>
        <v> MHAR 1 </v>
      </c>
      <c r="B43" s="15" t="str">
        <f t="shared" si="1"/>
        <v>I</v>
      </c>
      <c r="C43" s="9">
        <f t="shared" si="2"/>
        <v>37877.534</v>
      </c>
      <c r="D43" s="13" t="str">
        <f t="shared" si="3"/>
        <v>vis</v>
      </c>
      <c r="E43" s="45">
        <f>VLOOKUP(C43,Active!C$21:E$973,3,FALSE)</f>
        <v>1297.9864969088076</v>
      </c>
      <c r="F43" s="15" t="s">
        <v>57</v>
      </c>
      <c r="G43" s="13" t="str">
        <f t="shared" si="4"/>
        <v>37877.534</v>
      </c>
      <c r="H43" s="9">
        <f t="shared" si="5"/>
        <v>1298</v>
      </c>
      <c r="I43" s="46" t="s">
        <v>140</v>
      </c>
      <c r="J43" s="47" t="s">
        <v>141</v>
      </c>
      <c r="K43" s="46">
        <v>1298</v>
      </c>
      <c r="L43" s="46" t="s">
        <v>142</v>
      </c>
      <c r="M43" s="47" t="s">
        <v>63</v>
      </c>
      <c r="N43" s="47"/>
      <c r="O43" s="48" t="s">
        <v>115</v>
      </c>
      <c r="P43" s="48" t="s">
        <v>116</v>
      </c>
    </row>
    <row r="44" spans="1:16" ht="12.75" customHeight="1" thickBot="1" x14ac:dyDescent="0.25">
      <c r="A44" s="9" t="str">
        <f t="shared" si="0"/>
        <v> MHAR 1 </v>
      </c>
      <c r="B44" s="15" t="str">
        <f t="shared" si="1"/>
        <v>I</v>
      </c>
      <c r="C44" s="9">
        <f t="shared" si="2"/>
        <v>37933.364999999998</v>
      </c>
      <c r="D44" s="13" t="str">
        <f t="shared" si="3"/>
        <v>vis</v>
      </c>
      <c r="E44" s="45">
        <f>VLOOKUP(C44,Active!C$21:E$973,3,FALSE)</f>
        <v>1321.0131030301534</v>
      </c>
      <c r="F44" s="15" t="s">
        <v>57</v>
      </c>
      <c r="G44" s="13" t="str">
        <f t="shared" si="4"/>
        <v>37933.365</v>
      </c>
      <c r="H44" s="9">
        <f t="shared" si="5"/>
        <v>1321</v>
      </c>
      <c r="I44" s="46" t="s">
        <v>143</v>
      </c>
      <c r="J44" s="47" t="s">
        <v>144</v>
      </c>
      <c r="K44" s="46">
        <v>1321</v>
      </c>
      <c r="L44" s="46" t="s">
        <v>91</v>
      </c>
      <c r="M44" s="47" t="s">
        <v>63</v>
      </c>
      <c r="N44" s="47"/>
      <c r="O44" s="48" t="s">
        <v>115</v>
      </c>
      <c r="P44" s="48" t="s">
        <v>116</v>
      </c>
    </row>
    <row r="45" spans="1:16" ht="12.75" customHeight="1" thickBot="1" x14ac:dyDescent="0.25">
      <c r="A45" s="9" t="str">
        <f t="shared" si="0"/>
        <v> MHAR 1 </v>
      </c>
      <c r="B45" s="15" t="str">
        <f t="shared" si="1"/>
        <v>I</v>
      </c>
      <c r="C45" s="9">
        <f t="shared" si="2"/>
        <v>38556.493999999999</v>
      </c>
      <c r="D45" s="13" t="str">
        <f t="shared" si="3"/>
        <v>vis</v>
      </c>
      <c r="E45" s="45">
        <f>VLOOKUP(C45,Active!C$21:E$973,3,FALSE)</f>
        <v>1578.0127277151571</v>
      </c>
      <c r="F45" s="15" t="s">
        <v>57</v>
      </c>
      <c r="G45" s="13" t="str">
        <f t="shared" si="4"/>
        <v>38556.494</v>
      </c>
      <c r="H45" s="9">
        <f t="shared" si="5"/>
        <v>1578</v>
      </c>
      <c r="I45" s="46" t="s">
        <v>145</v>
      </c>
      <c r="J45" s="47" t="s">
        <v>146</v>
      </c>
      <c r="K45" s="46">
        <v>1578</v>
      </c>
      <c r="L45" s="46" t="s">
        <v>147</v>
      </c>
      <c r="M45" s="47" t="s">
        <v>63</v>
      </c>
      <c r="N45" s="47"/>
      <c r="O45" s="48" t="s">
        <v>115</v>
      </c>
      <c r="P45" s="48" t="s">
        <v>116</v>
      </c>
    </row>
    <row r="46" spans="1:16" ht="12.75" customHeight="1" thickBot="1" x14ac:dyDescent="0.25">
      <c r="A46" s="9" t="str">
        <f t="shared" si="0"/>
        <v> MHAR 1 </v>
      </c>
      <c r="B46" s="15" t="str">
        <f t="shared" si="1"/>
        <v>I</v>
      </c>
      <c r="C46" s="9">
        <f t="shared" si="2"/>
        <v>38709.294000000002</v>
      </c>
      <c r="D46" s="13" t="str">
        <f t="shared" si="3"/>
        <v>vis</v>
      </c>
      <c r="E46" s="45">
        <f>VLOOKUP(C46,Active!C$21:E$973,3,FALSE)</f>
        <v>1641.0326524046986</v>
      </c>
      <c r="F46" s="15" t="s">
        <v>57</v>
      </c>
      <c r="G46" s="13" t="str">
        <f t="shared" si="4"/>
        <v>38709.294</v>
      </c>
      <c r="H46" s="9">
        <f t="shared" si="5"/>
        <v>1641</v>
      </c>
      <c r="I46" s="46" t="s">
        <v>148</v>
      </c>
      <c r="J46" s="47" t="s">
        <v>149</v>
      </c>
      <c r="K46" s="46">
        <v>1641</v>
      </c>
      <c r="L46" s="46" t="s">
        <v>150</v>
      </c>
      <c r="M46" s="47" t="s">
        <v>63</v>
      </c>
      <c r="N46" s="47"/>
      <c r="O46" s="48" t="s">
        <v>115</v>
      </c>
      <c r="P46" s="48" t="s">
        <v>116</v>
      </c>
    </row>
    <row r="47" spans="1:16" ht="12.75" customHeight="1" thickBot="1" x14ac:dyDescent="0.25">
      <c r="A47" s="9" t="str">
        <f t="shared" si="0"/>
        <v> MHAR 1 </v>
      </c>
      <c r="B47" s="15" t="str">
        <f t="shared" si="1"/>
        <v>I</v>
      </c>
      <c r="C47" s="9">
        <f t="shared" si="2"/>
        <v>39007.453000000001</v>
      </c>
      <c r="D47" s="13" t="str">
        <f t="shared" si="3"/>
        <v>vis</v>
      </c>
      <c r="E47" s="45">
        <f>VLOOKUP(C47,Active!C$21:E$973,3,FALSE)</f>
        <v>1764.0035799276607</v>
      </c>
      <c r="F47" s="15" t="s">
        <v>57</v>
      </c>
      <c r="G47" s="13" t="str">
        <f t="shared" si="4"/>
        <v>39007.453</v>
      </c>
      <c r="H47" s="9">
        <f t="shared" si="5"/>
        <v>1764</v>
      </c>
      <c r="I47" s="46" t="s">
        <v>151</v>
      </c>
      <c r="J47" s="47" t="s">
        <v>152</v>
      </c>
      <c r="K47" s="46">
        <v>1764</v>
      </c>
      <c r="L47" s="46" t="s">
        <v>153</v>
      </c>
      <c r="M47" s="47" t="s">
        <v>63</v>
      </c>
      <c r="N47" s="47"/>
      <c r="O47" s="48" t="s">
        <v>115</v>
      </c>
      <c r="P47" s="48" t="s">
        <v>116</v>
      </c>
    </row>
    <row r="48" spans="1:16" ht="12.75" customHeight="1" thickBot="1" x14ac:dyDescent="0.25">
      <c r="A48" s="9" t="str">
        <f t="shared" si="0"/>
        <v> MHAR 1 </v>
      </c>
      <c r="B48" s="15" t="str">
        <f t="shared" si="1"/>
        <v>I</v>
      </c>
      <c r="C48" s="9">
        <f t="shared" si="2"/>
        <v>39029.305</v>
      </c>
      <c r="D48" s="13" t="str">
        <f t="shared" si="3"/>
        <v>vis</v>
      </c>
      <c r="E48" s="45">
        <f>VLOOKUP(C48,Active!C$21:E$973,3,FALSE)</f>
        <v>1773.0160890527638</v>
      </c>
      <c r="F48" s="15" t="s">
        <v>57</v>
      </c>
      <c r="G48" s="13" t="str">
        <f t="shared" si="4"/>
        <v>39029.305</v>
      </c>
      <c r="H48" s="9">
        <f t="shared" si="5"/>
        <v>1773</v>
      </c>
      <c r="I48" s="46" t="s">
        <v>154</v>
      </c>
      <c r="J48" s="47" t="s">
        <v>155</v>
      </c>
      <c r="K48" s="46">
        <v>1773</v>
      </c>
      <c r="L48" s="46" t="s">
        <v>156</v>
      </c>
      <c r="M48" s="47" t="s">
        <v>63</v>
      </c>
      <c r="N48" s="47"/>
      <c r="O48" s="48" t="s">
        <v>115</v>
      </c>
      <c r="P48" s="48" t="s">
        <v>116</v>
      </c>
    </row>
    <row r="49" spans="1:16" ht="12.75" customHeight="1" thickBot="1" x14ac:dyDescent="0.25">
      <c r="A49" s="9" t="str">
        <f t="shared" si="0"/>
        <v> MHAR 1 </v>
      </c>
      <c r="B49" s="15" t="str">
        <f t="shared" si="1"/>
        <v>I</v>
      </c>
      <c r="C49" s="9">
        <f t="shared" si="2"/>
        <v>39058.341</v>
      </c>
      <c r="D49" s="13" t="str">
        <f t="shared" si="3"/>
        <v>vis</v>
      </c>
      <c r="E49" s="45">
        <f>VLOOKUP(C49,Active!C$21:E$973,3,FALSE)</f>
        <v>1784.991524480025</v>
      </c>
      <c r="F49" s="15" t="s">
        <v>57</v>
      </c>
      <c r="G49" s="13" t="str">
        <f t="shared" si="4"/>
        <v>39058.341</v>
      </c>
      <c r="H49" s="9">
        <f t="shared" si="5"/>
        <v>1785</v>
      </c>
      <c r="I49" s="46" t="s">
        <v>157</v>
      </c>
      <c r="J49" s="47" t="s">
        <v>158</v>
      </c>
      <c r="K49" s="46">
        <v>1785</v>
      </c>
      <c r="L49" s="46" t="s">
        <v>159</v>
      </c>
      <c r="M49" s="47" t="s">
        <v>63</v>
      </c>
      <c r="N49" s="47"/>
      <c r="O49" s="48" t="s">
        <v>115</v>
      </c>
      <c r="P49" s="48" t="s">
        <v>116</v>
      </c>
    </row>
    <row r="50" spans="1:16" ht="12.75" customHeight="1" thickBot="1" x14ac:dyDescent="0.25">
      <c r="A50" s="9" t="str">
        <f t="shared" si="0"/>
        <v> MHAR 1 </v>
      </c>
      <c r="B50" s="15" t="str">
        <f t="shared" si="1"/>
        <v>I</v>
      </c>
      <c r="C50" s="9">
        <f t="shared" si="2"/>
        <v>39087.453999999998</v>
      </c>
      <c r="D50" s="13" t="str">
        <f t="shared" si="3"/>
        <v>vis</v>
      </c>
      <c r="E50" s="45">
        <f>VLOOKUP(C50,Active!C$21:E$973,3,FALSE)</f>
        <v>1796.9987173300672</v>
      </c>
      <c r="F50" s="15" t="s">
        <v>57</v>
      </c>
      <c r="G50" s="13" t="str">
        <f t="shared" si="4"/>
        <v>39087.454</v>
      </c>
      <c r="H50" s="9">
        <f t="shared" si="5"/>
        <v>1797</v>
      </c>
      <c r="I50" s="46" t="s">
        <v>160</v>
      </c>
      <c r="J50" s="47" t="s">
        <v>161</v>
      </c>
      <c r="K50" s="46">
        <v>1797</v>
      </c>
      <c r="L50" s="46" t="s">
        <v>59</v>
      </c>
      <c r="M50" s="47" t="s">
        <v>63</v>
      </c>
      <c r="N50" s="47"/>
      <c r="O50" s="48" t="s">
        <v>115</v>
      </c>
      <c r="P50" s="48" t="s">
        <v>116</v>
      </c>
    </row>
    <row r="51" spans="1:16" ht="12.75" customHeight="1" thickBot="1" x14ac:dyDescent="0.25">
      <c r="A51" s="9" t="str">
        <f t="shared" si="0"/>
        <v>BAVM 212 </v>
      </c>
      <c r="B51" s="15" t="str">
        <f t="shared" si="1"/>
        <v>I</v>
      </c>
      <c r="C51" s="9">
        <f t="shared" si="2"/>
        <v>55075.580699999999</v>
      </c>
      <c r="D51" s="13" t="str">
        <f t="shared" si="3"/>
        <v>vis</v>
      </c>
      <c r="E51" s="45">
        <f>VLOOKUP(C51,Active!C$21:E$973,3,FALSE)</f>
        <v>8391.0467576496212</v>
      </c>
      <c r="F51" s="15" t="s">
        <v>57</v>
      </c>
      <c r="G51" s="13" t="str">
        <f t="shared" si="4"/>
        <v>55075.5807</v>
      </c>
      <c r="H51" s="9">
        <f t="shared" si="5"/>
        <v>8391</v>
      </c>
      <c r="I51" s="46" t="s">
        <v>189</v>
      </c>
      <c r="J51" s="47" t="s">
        <v>190</v>
      </c>
      <c r="K51" s="46" t="s">
        <v>191</v>
      </c>
      <c r="L51" s="46" t="s">
        <v>192</v>
      </c>
      <c r="M51" s="47" t="s">
        <v>185</v>
      </c>
      <c r="N51" s="47" t="s">
        <v>186</v>
      </c>
      <c r="O51" s="48" t="s">
        <v>187</v>
      </c>
      <c r="P51" s="49" t="s">
        <v>193</v>
      </c>
    </row>
    <row r="52" spans="1:16" ht="12.75" customHeight="1" thickBot="1" x14ac:dyDescent="0.25">
      <c r="A52" s="9" t="str">
        <f t="shared" si="0"/>
        <v>BAVM 212 </v>
      </c>
      <c r="B52" s="15" t="str">
        <f t="shared" si="1"/>
        <v>I</v>
      </c>
      <c r="C52" s="9">
        <f t="shared" si="2"/>
        <v>55075.588499999998</v>
      </c>
      <c r="D52" s="13" t="str">
        <f t="shared" si="3"/>
        <v>vis</v>
      </c>
      <c r="E52" s="45">
        <f>VLOOKUP(C52,Active!C$21:E$973,3,FALSE)</f>
        <v>8391.0499746353053</v>
      </c>
      <c r="F52" s="15" t="s">
        <v>57</v>
      </c>
      <c r="G52" s="13" t="str">
        <f t="shared" si="4"/>
        <v>55075.5885</v>
      </c>
      <c r="H52" s="9">
        <f t="shared" si="5"/>
        <v>8391</v>
      </c>
      <c r="I52" s="46" t="s">
        <v>194</v>
      </c>
      <c r="J52" s="47" t="s">
        <v>195</v>
      </c>
      <c r="K52" s="46" t="s">
        <v>191</v>
      </c>
      <c r="L52" s="46" t="s">
        <v>196</v>
      </c>
      <c r="M52" s="47" t="s">
        <v>185</v>
      </c>
      <c r="N52" s="47" t="s">
        <v>197</v>
      </c>
      <c r="O52" s="48" t="s">
        <v>198</v>
      </c>
      <c r="P52" s="49" t="s">
        <v>193</v>
      </c>
    </row>
    <row r="53" spans="1:16" ht="12.75" customHeight="1" thickBot="1" x14ac:dyDescent="0.25">
      <c r="A53" s="9" t="str">
        <f t="shared" si="0"/>
        <v>BAVM 225 </v>
      </c>
      <c r="B53" s="15" t="str">
        <f t="shared" si="1"/>
        <v>I</v>
      </c>
      <c r="C53" s="9">
        <f t="shared" si="2"/>
        <v>55851.470999999998</v>
      </c>
      <c r="D53" s="13" t="str">
        <f t="shared" si="3"/>
        <v>vis</v>
      </c>
      <c r="E53" s="45">
        <f>VLOOKUP(C53,Active!C$21:E$973,3,FALSE)</f>
        <v>8711.0503458259609</v>
      </c>
      <c r="F53" s="15" t="s">
        <v>57</v>
      </c>
      <c r="G53" s="13" t="str">
        <f t="shared" si="4"/>
        <v>55851.4710</v>
      </c>
      <c r="H53" s="9">
        <f t="shared" si="5"/>
        <v>8711</v>
      </c>
      <c r="I53" s="46" t="s">
        <v>204</v>
      </c>
      <c r="J53" s="47" t="s">
        <v>205</v>
      </c>
      <c r="K53" s="46" t="s">
        <v>206</v>
      </c>
      <c r="L53" s="46" t="s">
        <v>207</v>
      </c>
      <c r="M53" s="47" t="s">
        <v>185</v>
      </c>
      <c r="N53" s="47" t="s">
        <v>197</v>
      </c>
      <c r="O53" s="48" t="s">
        <v>208</v>
      </c>
      <c r="P53" s="49" t="s">
        <v>209</v>
      </c>
    </row>
    <row r="54" spans="1:16" x14ac:dyDescent="0.2">
      <c r="B54" s="15"/>
      <c r="F54" s="15"/>
    </row>
    <row r="55" spans="1:16" x14ac:dyDescent="0.2">
      <c r="B55" s="15"/>
      <c r="F55" s="15"/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</sheetData>
  <phoneticPr fontId="7" type="noConversion"/>
  <hyperlinks>
    <hyperlink ref="P13" r:id="rId1" display="http://www.konkoly.hu/cgi-bin/IBVS?5745" xr:uid="{00000000-0004-0000-0100-000000000000}"/>
    <hyperlink ref="P14" r:id="rId2" display="http://www.konkoly.hu/cgi-bin/IBVS?5745" xr:uid="{00000000-0004-0000-0100-000001000000}"/>
    <hyperlink ref="P15" r:id="rId3" display="http://www.bav-astro.de/sfs/BAVM_link.php?BAVMnr=186" xr:uid="{00000000-0004-0000-0100-000002000000}"/>
    <hyperlink ref="P51" r:id="rId4" display="http://www.bav-astro.de/sfs/BAVM_link.php?BAVMnr=212" xr:uid="{00000000-0004-0000-0100-000003000000}"/>
    <hyperlink ref="P52" r:id="rId5" display="http://www.bav-astro.de/sfs/BAVM_link.php?BAVMnr=212" xr:uid="{00000000-0004-0000-0100-000004000000}"/>
    <hyperlink ref="P16" r:id="rId6" display="http://www.bav-astro.de/sfs/BAVM_link.php?BAVMnr=220" xr:uid="{00000000-0004-0000-0100-000005000000}"/>
    <hyperlink ref="P53" r:id="rId7" display="http://www.bav-astro.de/sfs/BAVM_link.php?BAVMnr=225" xr:uid="{00000000-0004-0000-0100-000006000000}"/>
    <hyperlink ref="P17" r:id="rId8" display="http://www.bav-astro.de/sfs/BAVM_link.php?BAVMnr=23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2024-01-31T04:04:40Z</dcterms:modified>
</cp:coreProperties>
</file>