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D88AE7B-5598-4400-BEB0-60D0E88AB7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8" i="1" l="1"/>
  <c r="Q49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7" i="1"/>
  <c r="Q43" i="1"/>
  <c r="Q44" i="1"/>
  <c r="Q45" i="1"/>
  <c r="G19" i="2"/>
  <c r="C19" i="2"/>
  <c r="G18" i="2"/>
  <c r="C18" i="2"/>
  <c r="E18" i="2"/>
  <c r="G36" i="2"/>
  <c r="C36" i="2"/>
  <c r="E36" i="2"/>
  <c r="G35" i="2"/>
  <c r="C35" i="2"/>
  <c r="E35" i="2"/>
  <c r="G34" i="2"/>
  <c r="C34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33" i="2"/>
  <c r="C33" i="2"/>
  <c r="E33" i="2"/>
  <c r="G12" i="2"/>
  <c r="C12" i="2"/>
  <c r="E12" i="2"/>
  <c r="G11" i="2"/>
  <c r="C11" i="2"/>
  <c r="E11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H19" i="2"/>
  <c r="B19" i="2"/>
  <c r="D19" i="2"/>
  <c r="A19" i="2"/>
  <c r="H18" i="2"/>
  <c r="B18" i="2"/>
  <c r="D18" i="2"/>
  <c r="A18" i="2"/>
  <c r="H36" i="2"/>
  <c r="B36" i="2"/>
  <c r="D36" i="2"/>
  <c r="A36" i="2"/>
  <c r="H35" i="2"/>
  <c r="B35" i="2"/>
  <c r="D35" i="2"/>
  <c r="A35" i="2"/>
  <c r="H34" i="2"/>
  <c r="B34" i="2"/>
  <c r="D34" i="2"/>
  <c r="A34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33" i="2"/>
  <c r="B33" i="2"/>
  <c r="D33" i="2"/>
  <c r="A33" i="2"/>
  <c r="H12" i="2"/>
  <c r="B12" i="2"/>
  <c r="D12" i="2"/>
  <c r="A12" i="2"/>
  <c r="H11" i="2"/>
  <c r="B11" i="2"/>
  <c r="D11" i="2"/>
  <c r="A11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Q46" i="1"/>
  <c r="Q47" i="1"/>
  <c r="C7" i="1"/>
  <c r="E48" i="1"/>
  <c r="F48" i="1"/>
  <c r="C8" i="1"/>
  <c r="F16" i="1"/>
  <c r="F17" i="1" s="1"/>
  <c r="Q38" i="1"/>
  <c r="C17" i="1"/>
  <c r="Q41" i="1"/>
  <c r="Q42" i="1"/>
  <c r="Q40" i="1"/>
  <c r="Q39" i="1"/>
  <c r="Q36" i="1"/>
  <c r="Q35" i="1"/>
  <c r="Q33" i="1"/>
  <c r="E46" i="1"/>
  <c r="F46" i="1"/>
  <c r="G46" i="1"/>
  <c r="J46" i="1"/>
  <c r="E39" i="1"/>
  <c r="F39" i="1"/>
  <c r="E37" i="1"/>
  <c r="E30" i="1"/>
  <c r="F30" i="1"/>
  <c r="E26" i="1"/>
  <c r="F26" i="1"/>
  <c r="G26" i="1"/>
  <c r="H26" i="1"/>
  <c r="E22" i="1"/>
  <c r="F22" i="1"/>
  <c r="G22" i="1"/>
  <c r="H22" i="1"/>
  <c r="E33" i="1"/>
  <c r="F33" i="1"/>
  <c r="E42" i="1"/>
  <c r="F42" i="1"/>
  <c r="E36" i="1"/>
  <c r="F36" i="1"/>
  <c r="G36" i="1"/>
  <c r="K36" i="1"/>
  <c r="E45" i="1"/>
  <c r="E34" i="1"/>
  <c r="F34" i="1"/>
  <c r="G34" i="1"/>
  <c r="I34" i="1"/>
  <c r="E29" i="1"/>
  <c r="F29" i="1"/>
  <c r="G29" i="1"/>
  <c r="H29" i="1"/>
  <c r="E25" i="1"/>
  <c r="F25" i="1"/>
  <c r="G25" i="1"/>
  <c r="H25" i="1"/>
  <c r="E49" i="1"/>
  <c r="F49" i="1"/>
  <c r="G49" i="1"/>
  <c r="K49" i="1"/>
  <c r="E38" i="1"/>
  <c r="F38" i="1"/>
  <c r="G38" i="1"/>
  <c r="K38" i="1"/>
  <c r="E41" i="1"/>
  <c r="E35" i="1"/>
  <c r="F35" i="1"/>
  <c r="G35" i="1"/>
  <c r="I35" i="1"/>
  <c r="E44" i="1"/>
  <c r="F44" i="1"/>
  <c r="G44" i="1"/>
  <c r="K44" i="1"/>
  <c r="E32" i="1"/>
  <c r="E28" i="1"/>
  <c r="F28" i="1"/>
  <c r="G28" i="1"/>
  <c r="H28" i="1"/>
  <c r="E24" i="1"/>
  <c r="E40" i="1"/>
  <c r="F40" i="1"/>
  <c r="G40" i="1"/>
  <c r="J40" i="1"/>
  <c r="E31" i="1"/>
  <c r="F31" i="1"/>
  <c r="G31" i="1"/>
  <c r="H31" i="1"/>
  <c r="E23" i="1"/>
  <c r="F23" i="1"/>
  <c r="F24" i="1"/>
  <c r="G24" i="1"/>
  <c r="H24" i="1"/>
  <c r="F45" i="1"/>
  <c r="G45" i="1"/>
  <c r="K45" i="1"/>
  <c r="F32" i="1"/>
  <c r="G32" i="1"/>
  <c r="H32" i="1"/>
  <c r="F41" i="1"/>
  <c r="G41" i="1"/>
  <c r="J41" i="1"/>
  <c r="F37" i="1"/>
  <c r="G37" i="1"/>
  <c r="K37" i="1"/>
  <c r="E19" i="2"/>
  <c r="E20" i="2"/>
  <c r="E26" i="2"/>
  <c r="G48" i="1"/>
  <c r="K48" i="1"/>
  <c r="G23" i="1"/>
  <c r="H23" i="1"/>
  <c r="E27" i="1"/>
  <c r="F27" i="1"/>
  <c r="G27" i="1"/>
  <c r="H27" i="1"/>
  <c r="E43" i="1"/>
  <c r="F43" i="1"/>
  <c r="G43" i="1"/>
  <c r="K43" i="1"/>
  <c r="E47" i="1"/>
  <c r="F47" i="1"/>
  <c r="G47" i="1"/>
  <c r="J47" i="1"/>
  <c r="G39" i="1"/>
  <c r="G42" i="1"/>
  <c r="J42" i="1"/>
  <c r="E21" i="1"/>
  <c r="F21" i="1"/>
  <c r="G21" i="1"/>
  <c r="H21" i="1"/>
  <c r="G30" i="1"/>
  <c r="H30" i="1"/>
  <c r="J39" i="1"/>
  <c r="E34" i="2"/>
  <c r="C11" i="1"/>
  <c r="C12" i="1"/>
  <c r="C16" i="1" l="1"/>
  <c r="D18" i="1" s="1"/>
  <c r="O43" i="1"/>
  <c r="O33" i="1"/>
  <c r="O32" i="1"/>
  <c r="O49" i="1"/>
  <c r="O46" i="1"/>
  <c r="O42" i="1"/>
  <c r="O30" i="1"/>
  <c r="O31" i="1"/>
  <c r="O26" i="1"/>
  <c r="O36" i="1"/>
  <c r="O23" i="1"/>
  <c r="O44" i="1"/>
  <c r="O38" i="1"/>
  <c r="O39" i="1"/>
  <c r="O22" i="1"/>
  <c r="O21" i="1"/>
  <c r="O25" i="1"/>
  <c r="C15" i="1"/>
  <c r="O41" i="1"/>
  <c r="O34" i="1"/>
  <c r="O40" i="1"/>
  <c r="O27" i="1"/>
  <c r="O45" i="1"/>
  <c r="O24" i="1"/>
  <c r="O48" i="1"/>
  <c r="O37" i="1"/>
  <c r="O29" i="1"/>
  <c r="O47" i="1"/>
  <c r="O35" i="1"/>
  <c r="O28" i="1"/>
  <c r="C18" i="1" l="1"/>
  <c r="F18" i="1"/>
  <c r="F19" i="1" s="1"/>
</calcChain>
</file>

<file path=xl/sharedStrings.xml><?xml version="1.0" encoding="utf-8"?>
<sst xmlns="http://schemas.openxmlformats.org/spreadsheetml/2006/main" count="327" uniqueCount="173">
  <si>
    <t>IBVS 6196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</si>
  <si>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</si>
  <si>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</si>
  <si>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</si>
  <si>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</si>
  <si>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</si>
  <si>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</si>
  <si>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</si>
  <si>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</si>
  <si>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</si>
  <si>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</si>
  <si>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</si>
  <si>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</si>
  <si>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</si>
  <si>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</si>
  <si>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</si>
  <si>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</si>
  <si>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</si>
  <si>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</si>
  <si>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</si>
  <si>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</si>
  <si>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</si>
  <si>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</si>
  <si>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</si>
  <si>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</si>
  <si>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</si>
  <si>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</si>
  <si>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</si>
  <si>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</si>
  <si>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</si>
  <si>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</si>
  <si>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Bull.118</t>
  </si>
  <si>
    <t>B</t>
  </si>
  <si>
    <t>IBVS 5287</t>
  </si>
  <si>
    <t>I</t>
  </si>
  <si>
    <t>IBVS 5643</t>
  </si>
  <si>
    <t>IBVS 5657</t>
  </si>
  <si>
    <t>EA/SD: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</si>
  <si>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</si>
  <si>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</si>
  <si>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</si>
  <si>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</si>
  <si>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</si>
  <si>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</si>
  <si>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</si>
  <si>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</si>
  <si>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</si>
  <si>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</si>
  <si>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</si>
  <si>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</si>
  <si>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IBVS 6084</t>
  </si>
  <si>
    <t>V0526 Cyg / GSC 3588-4438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</si>
  <si>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</si>
  <si>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</si>
  <si>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</si>
  <si>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</si>
  <si>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</si>
  <si>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</si>
  <si>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</si>
  <si>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</si>
  <si>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</si>
  <si>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</si>
  <si>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</si>
  <si>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</si>
  <si>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2428315.50 </t>
  </si>
  <si>
    <t> 27.05.1936 00:00 </t>
  </si>
  <si>
    <t> 0.05 </t>
  </si>
  <si>
    <t>P </t>
  </si>
  <si>
    <t> C.Hoffmeister </t>
  </si>
  <si>
    <t> VSS 1.308 </t>
  </si>
  <si>
    <t>2428664.50 </t>
  </si>
  <si>
    <t> 11.05.1937 00:00 </t>
  </si>
  <si>
    <t> -0.02 </t>
  </si>
  <si>
    <t>2429013.54 </t>
  </si>
  <si>
    <t> 25.04.1938 00:57 </t>
  </si>
  <si>
    <t> -0.05 </t>
  </si>
  <si>
    <t>2429108.51 </t>
  </si>
  <si>
    <t> 29.07.1938 00:14 </t>
  </si>
  <si>
    <t> -0.06 </t>
  </si>
  <si>
    <t>2429113.47 </t>
  </si>
  <si>
    <t> 02.08.1938 23:16 </t>
  </si>
  <si>
    <t> -0.03 </t>
  </si>
  <si>
    <t>2429160.38 </t>
  </si>
  <si>
    <t> 18.09.1938 21:07 </t>
  </si>
  <si>
    <t> 0.01 </t>
  </si>
  <si>
    <t>2429165.33 </t>
  </si>
  <si>
    <t> 23.09.1938 19:55 </t>
  </si>
  <si>
    <t> 0.02 </t>
  </si>
  <si>
    <t>2429499.55 </t>
  </si>
  <si>
    <t> 24.08.1939 01:12 </t>
  </si>
  <si>
    <t>2429910.31 </t>
  </si>
  <si>
    <t> 07.10.1940 19:26 </t>
  </si>
  <si>
    <t> -0.01 </t>
  </si>
  <si>
    <t>2429952.24 </t>
  </si>
  <si>
    <t> 18.11.1940 17:45 </t>
  </si>
  <si>
    <t>2430999.48 </t>
  </si>
  <si>
    <t> 01.10.1943 23:31 </t>
  </si>
  <si>
    <t>2431030.30 </t>
  </si>
  <si>
    <t> 01.11.1943 19:12 </t>
  </si>
  <si>
    <t> 0.00 </t>
  </si>
  <si>
    <t>2448503.572 </t>
  </si>
  <si>
    <t> 04.09.1991 01:43 </t>
  </si>
  <si>
    <t> 0.074 </t>
  </si>
  <si>
    <t> Moschner </t>
  </si>
  <si>
    <t>BAVM 179 </t>
  </si>
  <si>
    <t>2450944.577 </t>
  </si>
  <si>
    <t> 11.05.1998 01:50 </t>
  </si>
  <si>
    <t> 0.061 </t>
  </si>
  <si>
    <t>E </t>
  </si>
  <si>
    <t>?</t>
  </si>
  <si>
    <t> R.Diethelm </t>
  </si>
  <si>
    <t> BBS 118 </t>
  </si>
  <si>
    <t>2451778.3956 </t>
  </si>
  <si>
    <t> 21.08.2000 21:29 </t>
  </si>
  <si>
    <t> 0.0605 </t>
  </si>
  <si>
    <t> M.Zejda </t>
  </si>
  <si>
    <t>IBVS 5287 </t>
  </si>
  <si>
    <t>2452090.4613 </t>
  </si>
  <si>
    <t> 29.06.2001 23:04 </t>
  </si>
  <si>
    <t> 0.0607 </t>
  </si>
  <si>
    <t> BBS 125 </t>
  </si>
  <si>
    <t>2452122.53720 </t>
  </si>
  <si>
    <t> 01.08.2001 00:53 </t>
  </si>
  <si>
    <t> 0.06663 </t>
  </si>
  <si>
    <t>C </t>
  </si>
  <si>
    <t>o</t>
  </si>
  <si>
    <t> K.Koss </t>
  </si>
  <si>
    <t>OEJV 0074 </t>
  </si>
  <si>
    <t>2452864.4480 </t>
  </si>
  <si>
    <t> 12.08.2003 22:45 </t>
  </si>
  <si>
    <t> 0.0511 </t>
  </si>
  <si>
    <t> F.Agerer </t>
  </si>
  <si>
    <t>BAVM 172 </t>
  </si>
  <si>
    <t>2453152.4619 </t>
  </si>
  <si>
    <t> 26.05.2004 23:05 </t>
  </si>
  <si>
    <t> 0.0520 </t>
  </si>
  <si>
    <t> Moschner &amp; Frank </t>
  </si>
  <si>
    <t>BAVM 173 </t>
  </si>
  <si>
    <t>2453601.4359 </t>
  </si>
  <si>
    <t> 18.08.2005 22:27 </t>
  </si>
  <si>
    <t> 0.0464 </t>
  </si>
  <si>
    <t>-I</t>
  </si>
  <si>
    <t>BAVM 178 </t>
  </si>
  <si>
    <t>2453622.4063 </t>
  </si>
  <si>
    <t> 08.09.2005 21:45 </t>
  </si>
  <si>
    <t>16101</t>
  </si>
  <si>
    <t> 0.0480 </t>
  </si>
  <si>
    <t>2454357.5429 </t>
  </si>
  <si>
    <t> 14.09.2007 01:01 </t>
  </si>
  <si>
    <t>16697</t>
  </si>
  <si>
    <t> 0.0423 </t>
  </si>
  <si>
    <t>BAVM 193 </t>
  </si>
  <si>
    <t>2455059.3864 </t>
  </si>
  <si>
    <t> 15.08.2009 21:16 </t>
  </si>
  <si>
    <t>17266</t>
  </si>
  <si>
    <t> 0.0469 </t>
  </si>
  <si>
    <t> U.Schmidt </t>
  </si>
  <si>
    <t>BAVM 212 </t>
  </si>
  <si>
    <t>2455102.5528 </t>
  </si>
  <si>
    <t> 28.09.2009 01:16 </t>
  </si>
  <si>
    <t>17301</t>
  </si>
  <si>
    <t> 0.0421 </t>
  </si>
  <si>
    <t>2455429.4189 </t>
  </si>
  <si>
    <t> 20.08.2010 22:03 </t>
  </si>
  <si>
    <t>17566</t>
  </si>
  <si>
    <t> 0.0413 </t>
  </si>
  <si>
    <t>BAVM 215 </t>
  </si>
  <si>
    <t>2456491.4268 </t>
  </si>
  <si>
    <t> 17.07.2013 22:14 </t>
  </si>
  <si>
    <t>18427</t>
  </si>
  <si>
    <t> 0.0399 </t>
  </si>
  <si>
    <t>BAVM 232 </t>
  </si>
  <si>
    <t>IBVS 6230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</si>
</sst>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V0526 Cyg - O-C Diagr.</a:t>
            </a:r>
          </a:p>
        </c:rich>
      </c:tx>
      <c:layout>
        <c:manualLayout>
          <c:xMode val="edge"/>
          <c:yMode val="edge"/>
          <c:x val="0.3465703971119133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346570397112"/>
          <c:y val="0.14769252958613219"/>
          <c:w val="0.7888086642599277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4.6684800003276905E-2</c:v>
                </c:pt>
                <c:pt idx="1">
                  <c:v>-2.2580099997867364E-2</c:v>
                </c:pt>
                <c:pt idx="2">
                  <c:v>-5.184499999450054E-2</c:v>
                </c:pt>
                <c:pt idx="3">
                  <c:v>-5.8288099997298559E-2</c:v>
                </c:pt>
                <c:pt idx="4">
                  <c:v>-3.2129299994267058E-2</c:v>
                </c:pt>
                <c:pt idx="5">
                  <c:v>6.3793000044825021E-3</c:v>
                </c:pt>
                <c:pt idx="6">
                  <c:v>2.2538100005476736E-2</c:v>
                </c:pt>
                <c:pt idx="7">
                  <c:v>-2.5203199998941272E-2</c:v>
                </c:pt>
                <c:pt idx="8">
                  <c:v>-7.4830999947153032E-3</c:v>
                </c:pt>
                <c:pt idx="9">
                  <c:v>-1.5133299995795824E-2</c:v>
                </c:pt>
                <c:pt idx="10">
                  <c:v>1.7072000002372079E-2</c:v>
                </c:pt>
                <c:pt idx="11">
                  <c:v>5.6450000192853622E-4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8-4029-892D-311BEE7635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3">
                  <c:v>7.3954700004833285E-2</c:v>
                </c:pt>
                <c:pt idx="14">
                  <c:v>6.1021000001346692E-2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D8-4029-892D-311BEE7635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8">
                  <c:v>5.1064049999695271E-2</c:v>
                </c:pt>
                <c:pt idx="19">
                  <c:v>5.1984000005177222E-2</c:v>
                </c:pt>
                <c:pt idx="20">
                  <c:v>4.6434799995040521E-2</c:v>
                </c:pt>
                <c:pt idx="21">
                  <c:v>4.8009700010879897E-2</c:v>
                </c:pt>
                <c:pt idx="25">
                  <c:v>4.1270199995778967E-2</c:v>
                </c:pt>
                <c:pt idx="26">
                  <c:v>3.9851900000940077E-2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D8-4029-892D-311BEE7635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5">
                  <c:v>6.0458200008724816E-2</c:v>
                </c:pt>
                <c:pt idx="16">
                  <c:v>6.0702300004777499E-2</c:v>
                </c:pt>
                <c:pt idx="17">
                  <c:v>6.6634499999054242E-2</c:v>
                </c:pt>
                <c:pt idx="22">
                  <c:v>4.2270900004950818E-2</c:v>
                </c:pt>
                <c:pt idx="23">
                  <c:v>4.686020000372082E-2</c:v>
                </c:pt>
                <c:pt idx="24">
                  <c:v>4.2149699998844881E-2</c:v>
                </c:pt>
                <c:pt idx="27">
                  <c:v>4.0856200001144316E-2</c:v>
                </c:pt>
                <c:pt idx="28">
                  <c:v>3.3557750008185394E-2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D8-4029-892D-311BEE7635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D8-4029-892D-311BEE7635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D8-4029-892D-311BEE7635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D8-4029-892D-311BEE7635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0.16098953703339408</c:v>
                </c:pt>
                <c:pt idx="1">
                  <c:v>0.159471053657958</c:v>
                </c:pt>
                <c:pt idx="2">
                  <c:v>0.15795257028252191</c:v>
                </c:pt>
                <c:pt idx="3">
                  <c:v>0.157539414028428</c:v>
                </c:pt>
                <c:pt idx="4">
                  <c:v>0.15751795136587765</c:v>
                </c:pt>
                <c:pt idx="5">
                  <c:v>0.1573140560716495</c:v>
                </c:pt>
                <c:pt idx="6">
                  <c:v>0.15729259340909915</c:v>
                </c:pt>
                <c:pt idx="7">
                  <c:v>0.15583849802131408</c:v>
                </c:pt>
                <c:pt idx="8">
                  <c:v>0.1540517313639988</c:v>
                </c:pt>
                <c:pt idx="9">
                  <c:v>0.15386929873232097</c:v>
                </c:pt>
                <c:pt idx="10">
                  <c:v>0.14931384860601271</c:v>
                </c:pt>
                <c:pt idx="11">
                  <c:v>0.14917970696507313</c:v>
                </c:pt>
                <c:pt idx="12">
                  <c:v>0.137294757577826</c:v>
                </c:pt>
                <c:pt idx="13">
                  <c:v>7.3169687543067324E-2</c:v>
                </c:pt>
                <c:pt idx="14">
                  <c:v>6.2551035246289868E-2</c:v>
                </c:pt>
                <c:pt idx="15">
                  <c:v>5.8923845275283521E-2</c:v>
                </c:pt>
                <c:pt idx="16">
                  <c:v>5.7566331868974932E-2</c:v>
                </c:pt>
                <c:pt idx="17">
                  <c:v>5.7426824562397755E-2</c:v>
                </c:pt>
                <c:pt idx="18">
                  <c:v>5.4199376681391367E-2</c:v>
                </c:pt>
                <c:pt idx="19">
                  <c:v>5.2946493755015658E-2</c:v>
                </c:pt>
                <c:pt idx="20">
                  <c:v>5.0993391462935314E-2</c:v>
                </c:pt>
                <c:pt idx="21">
                  <c:v>5.0902175147096398E-2</c:v>
                </c:pt>
                <c:pt idx="22">
                  <c:v>4.7704238427096729E-2</c:v>
                </c:pt>
                <c:pt idx="23">
                  <c:v>4.4651174679311789E-2</c:v>
                </c:pt>
                <c:pt idx="24">
                  <c:v>4.4463376381996378E-2</c:v>
                </c:pt>
                <c:pt idx="25">
                  <c:v>4.3041474988036788E-2</c:v>
                </c:pt>
                <c:pt idx="26">
                  <c:v>3.8421636874077514E-2</c:v>
                </c:pt>
                <c:pt idx="27">
                  <c:v>3.5636856408171755E-2</c:v>
                </c:pt>
                <c:pt idx="28">
                  <c:v>3.3697168280185374E-2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D8-4029-892D-311BEE763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00656"/>
        <c:axId val="1"/>
      </c:scatterChart>
      <c:valAx>
        <c:axId val="557600656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657039711191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5162454873646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00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50541516245489"/>
          <c:y val="0.92000129214617399"/>
          <c:w val="0.754512635379061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V0526 Cyg - O-C Diagr.</a:t>
            </a:r>
          </a:p>
        </c:rich>
      </c:tx>
      <c:layout>
        <c:manualLayout>
          <c:xMode val="edge"/>
          <c:yMode val="edge"/>
          <c:x val="0.347748315244378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5522760984587"/>
          <c:y val="0.14723926380368099"/>
          <c:w val="0.7855869678824745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4.6684800003276905E-2</c:v>
                </c:pt>
                <c:pt idx="1">
                  <c:v>-2.2580099997867364E-2</c:v>
                </c:pt>
                <c:pt idx="2">
                  <c:v>-5.184499999450054E-2</c:v>
                </c:pt>
                <c:pt idx="3">
                  <c:v>-5.8288099997298559E-2</c:v>
                </c:pt>
                <c:pt idx="4">
                  <c:v>-3.2129299994267058E-2</c:v>
                </c:pt>
                <c:pt idx="5">
                  <c:v>6.3793000044825021E-3</c:v>
                </c:pt>
                <c:pt idx="6">
                  <c:v>2.2538100005476736E-2</c:v>
                </c:pt>
                <c:pt idx="7">
                  <c:v>-2.5203199998941272E-2</c:v>
                </c:pt>
                <c:pt idx="8">
                  <c:v>-7.4830999947153032E-3</c:v>
                </c:pt>
                <c:pt idx="9">
                  <c:v>-1.5133299995795824E-2</c:v>
                </c:pt>
                <c:pt idx="10">
                  <c:v>1.7072000002372079E-2</c:v>
                </c:pt>
                <c:pt idx="11">
                  <c:v>5.6450000192853622E-4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B5-43F5-9B21-1538AF326F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3">
                  <c:v>7.3954700004833285E-2</c:v>
                </c:pt>
                <c:pt idx="14">
                  <c:v>6.1021000001346692E-2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B5-43F5-9B21-1538AF326F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8">
                  <c:v>5.1064049999695271E-2</c:v>
                </c:pt>
                <c:pt idx="19">
                  <c:v>5.1984000005177222E-2</c:v>
                </c:pt>
                <c:pt idx="20">
                  <c:v>4.6434799995040521E-2</c:v>
                </c:pt>
                <c:pt idx="21">
                  <c:v>4.8009700010879897E-2</c:v>
                </c:pt>
                <c:pt idx="25">
                  <c:v>4.1270199995778967E-2</c:v>
                </c:pt>
                <c:pt idx="26">
                  <c:v>3.9851900000940077E-2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B5-43F5-9B21-1538AF326F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5">
                  <c:v>6.0458200008724816E-2</c:v>
                </c:pt>
                <c:pt idx="16">
                  <c:v>6.0702300004777499E-2</c:v>
                </c:pt>
                <c:pt idx="17">
                  <c:v>6.6634499999054242E-2</c:v>
                </c:pt>
                <c:pt idx="22">
                  <c:v>4.2270900004950818E-2</c:v>
                </c:pt>
                <c:pt idx="23">
                  <c:v>4.686020000372082E-2</c:v>
                </c:pt>
                <c:pt idx="24">
                  <c:v>4.2149699998844881E-2</c:v>
                </c:pt>
                <c:pt idx="27">
                  <c:v>4.0856200001144316E-2</c:v>
                </c:pt>
                <c:pt idx="28">
                  <c:v>3.3557750008185394E-2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B5-43F5-9B21-1538AF326F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B5-43F5-9B21-1538AF326F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B5-43F5-9B21-1538AF326F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8.3000000000000001E-3</c:v>
                  </c:pt>
                  <c:pt idx="16">
                    <c:v>0</c:v>
                  </c:pt>
                  <c:pt idx="17">
                    <c:v>0</c:v>
                  </c:pt>
                  <c:pt idx="18">
                    <c:v>4.0000000000000002E-4</c:v>
                  </c:pt>
                  <c:pt idx="19">
                    <c:v>2.9999999999999997E-4</c:v>
                  </c:pt>
                  <c:pt idx="20">
                    <c:v>1.1000000000000001E-3</c:v>
                  </c:pt>
                  <c:pt idx="21">
                    <c:v>3.3E-3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2.3E-3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B5-43F5-9B21-1538AF326F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-4416</c:v>
                </c:pt>
                <c:pt idx="1">
                  <c:v>-4133</c:v>
                </c:pt>
                <c:pt idx="2">
                  <c:v>-3850</c:v>
                </c:pt>
                <c:pt idx="3">
                  <c:v>-3773</c:v>
                </c:pt>
                <c:pt idx="4">
                  <c:v>-3769</c:v>
                </c:pt>
                <c:pt idx="5">
                  <c:v>-3731</c:v>
                </c:pt>
                <c:pt idx="6">
                  <c:v>-3727</c:v>
                </c:pt>
                <c:pt idx="7">
                  <c:v>-3456</c:v>
                </c:pt>
                <c:pt idx="8">
                  <c:v>-3123</c:v>
                </c:pt>
                <c:pt idx="9">
                  <c:v>-3089</c:v>
                </c:pt>
                <c:pt idx="10">
                  <c:v>-2240</c:v>
                </c:pt>
                <c:pt idx="11">
                  <c:v>-2215</c:v>
                </c:pt>
                <c:pt idx="12">
                  <c:v>0</c:v>
                </c:pt>
                <c:pt idx="13">
                  <c:v>11951</c:v>
                </c:pt>
                <c:pt idx="14">
                  <c:v>13930</c:v>
                </c:pt>
                <c:pt idx="15">
                  <c:v>14606</c:v>
                </c:pt>
                <c:pt idx="16">
                  <c:v>14859</c:v>
                </c:pt>
                <c:pt idx="17">
                  <c:v>14885</c:v>
                </c:pt>
                <c:pt idx="18">
                  <c:v>15486.5</c:v>
                </c:pt>
                <c:pt idx="19">
                  <c:v>15720</c:v>
                </c:pt>
                <c:pt idx="20">
                  <c:v>16084</c:v>
                </c:pt>
                <c:pt idx="21">
                  <c:v>16101</c:v>
                </c:pt>
                <c:pt idx="22">
                  <c:v>16697</c:v>
                </c:pt>
                <c:pt idx="23">
                  <c:v>17266</c:v>
                </c:pt>
                <c:pt idx="24">
                  <c:v>17301</c:v>
                </c:pt>
                <c:pt idx="25">
                  <c:v>17566</c:v>
                </c:pt>
                <c:pt idx="26">
                  <c:v>18427</c:v>
                </c:pt>
                <c:pt idx="27">
                  <c:v>18946</c:v>
                </c:pt>
                <c:pt idx="28">
                  <c:v>19307.5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0.16098953703339408</c:v>
                </c:pt>
                <c:pt idx="1">
                  <c:v>0.159471053657958</c:v>
                </c:pt>
                <c:pt idx="2">
                  <c:v>0.15795257028252191</c:v>
                </c:pt>
                <c:pt idx="3">
                  <c:v>0.157539414028428</c:v>
                </c:pt>
                <c:pt idx="4">
                  <c:v>0.15751795136587765</c:v>
                </c:pt>
                <c:pt idx="5">
                  <c:v>0.1573140560716495</c:v>
                </c:pt>
                <c:pt idx="6">
                  <c:v>0.15729259340909915</c:v>
                </c:pt>
                <c:pt idx="7">
                  <c:v>0.15583849802131408</c:v>
                </c:pt>
                <c:pt idx="8">
                  <c:v>0.1540517313639988</c:v>
                </c:pt>
                <c:pt idx="9">
                  <c:v>0.15386929873232097</c:v>
                </c:pt>
                <c:pt idx="10">
                  <c:v>0.14931384860601271</c:v>
                </c:pt>
                <c:pt idx="11">
                  <c:v>0.14917970696507313</c:v>
                </c:pt>
                <c:pt idx="12">
                  <c:v>0.137294757577826</c:v>
                </c:pt>
                <c:pt idx="13">
                  <c:v>7.3169687543067324E-2</c:v>
                </c:pt>
                <c:pt idx="14">
                  <c:v>6.2551035246289868E-2</c:v>
                </c:pt>
                <c:pt idx="15">
                  <c:v>5.8923845275283521E-2</c:v>
                </c:pt>
                <c:pt idx="16">
                  <c:v>5.7566331868974932E-2</c:v>
                </c:pt>
                <c:pt idx="17">
                  <c:v>5.7426824562397755E-2</c:v>
                </c:pt>
                <c:pt idx="18">
                  <c:v>5.4199376681391367E-2</c:v>
                </c:pt>
                <c:pt idx="19">
                  <c:v>5.2946493755015658E-2</c:v>
                </c:pt>
                <c:pt idx="20">
                  <c:v>5.0993391462935314E-2</c:v>
                </c:pt>
                <c:pt idx="21">
                  <c:v>5.0902175147096398E-2</c:v>
                </c:pt>
                <c:pt idx="22">
                  <c:v>4.7704238427096729E-2</c:v>
                </c:pt>
                <c:pt idx="23">
                  <c:v>4.4651174679311789E-2</c:v>
                </c:pt>
                <c:pt idx="24">
                  <c:v>4.4463376381996378E-2</c:v>
                </c:pt>
                <c:pt idx="25">
                  <c:v>4.3041474988036788E-2</c:v>
                </c:pt>
                <c:pt idx="26">
                  <c:v>3.8421636874077514E-2</c:v>
                </c:pt>
                <c:pt idx="27">
                  <c:v>3.5636856408171755E-2</c:v>
                </c:pt>
                <c:pt idx="28">
                  <c:v>3.3697168280185374E-2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B5-43F5-9B21-1538AF326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241728"/>
        <c:axId val="1"/>
      </c:scatterChart>
      <c:valAx>
        <c:axId val="91524172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4683502399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542432195975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241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18055851126716"/>
          <c:y val="0.92024539877300615"/>
          <c:w val="0.753154477311957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104774</xdr:colOff>
      <xdr:row>18</xdr:row>
      <xdr:rowOff>85725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59173A5-47CB-BE57-B81B-F04C705DD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57149</xdr:rowOff>
    </xdr:from>
    <xdr:to>
      <xdr:col>26</xdr:col>
      <xdr:colOff>666750</xdr:colOff>
      <xdr:row>18</xdr:row>
      <xdr:rowOff>95249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2FFD4799-132B-5A76-805B-855BD8B89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73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51</v>
      </c>
    </row>
    <row r="2" spans="1:6">
      <c r="A2" t="s">
        <v>26</v>
      </c>
      <c r="B2" s="15" t="s">
        <v>37</v>
      </c>
    </row>
    <row r="4" spans="1:6" ht="14.25" thickTop="1" thickBot="1">
      <c r="A4" s="7" t="s">
        <v>2</v>
      </c>
      <c r="C4" s="3">
        <v>33762.413999999997</v>
      </c>
      <c r="D4" s="4">
        <v>1.2334603</v>
      </c>
    </row>
    <row r="5" spans="1:6" ht="13.5" thickTop="1">
      <c r="A5" s="17" t="s">
        <v>40</v>
      </c>
      <c r="B5" s="16"/>
      <c r="C5" s="18">
        <v>-9.5</v>
      </c>
      <c r="D5" s="16" t="s">
        <v>41</v>
      </c>
    </row>
    <row r="6" spans="1:6">
      <c r="A6" s="7" t="s">
        <v>3</v>
      </c>
    </row>
    <row r="7" spans="1:6">
      <c r="A7" t="s">
        <v>4</v>
      </c>
      <c r="C7">
        <f>+C4</f>
        <v>33762.413999999997</v>
      </c>
    </row>
    <row r="8" spans="1:6">
      <c r="A8" t="s">
        <v>5</v>
      </c>
      <c r="C8">
        <f>+D4</f>
        <v>1.2334603</v>
      </c>
    </row>
    <row r="9" spans="1:6">
      <c r="A9" s="30" t="s">
        <v>45</v>
      </c>
      <c r="B9" s="31">
        <v>35</v>
      </c>
      <c r="C9" s="20" t="str">
        <f>"F"&amp;B9</f>
        <v>F35</v>
      </c>
      <c r="D9" s="12" t="str">
        <f>"G"&amp;B9</f>
        <v>G35</v>
      </c>
    </row>
    <row r="10" spans="1:6" ht="13.5" thickBot="1">
      <c r="A10" s="16"/>
      <c r="B10" s="16"/>
      <c r="C10" s="6" t="s">
        <v>22</v>
      </c>
      <c r="D10" s="6" t="s">
        <v>23</v>
      </c>
      <c r="E10" s="16"/>
    </row>
    <row r="11" spans="1:6">
      <c r="A11" s="16" t="s">
        <v>18</v>
      </c>
      <c r="B11" s="16"/>
      <c r="C11" s="19">
        <f ca="1">INTERCEPT(INDIRECT($D$9):G992,INDIRECT($C$9):F992)</f>
        <v>0.137294757577826</v>
      </c>
      <c r="D11" s="5"/>
      <c r="E11" s="16"/>
    </row>
    <row r="12" spans="1:6">
      <c r="A12" s="16" t="s">
        <v>19</v>
      </c>
      <c r="B12" s="16"/>
      <c r="C12" s="19">
        <f ca="1">SLOPE(INDIRECT($D$9):G992,INDIRECT($C$9):F992)</f>
        <v>-5.3656656375833549E-6</v>
      </c>
      <c r="D12" s="5"/>
      <c r="E12" s="16"/>
    </row>
    <row r="13" spans="1:6">
      <c r="A13" s="16" t="s">
        <v>21</v>
      </c>
      <c r="B13" s="16"/>
      <c r="C13" s="5" t="s">
        <v>16</v>
      </c>
    </row>
    <row r="14" spans="1:6">
      <c r="A14" s="16"/>
      <c r="B14" s="16"/>
      <c r="C14" s="16"/>
    </row>
    <row r="15" spans="1:6">
      <c r="A15" s="21" t="s">
        <v>20</v>
      </c>
      <c r="B15" s="16"/>
      <c r="C15" s="22">
        <f ca="1">(C7+C11)+(C8+C12)*INT(MAX(F21:F3533))</f>
        <v>57576.865711951112</v>
      </c>
      <c r="E15" s="23" t="s">
        <v>48</v>
      </c>
      <c r="F15" s="18">
        <v>1</v>
      </c>
    </row>
    <row r="16" spans="1:6">
      <c r="A16" s="25" t="s">
        <v>6</v>
      </c>
      <c r="B16" s="16"/>
      <c r="C16" s="26">
        <f ca="1">+C8+C12</f>
        <v>1.2334549343343624</v>
      </c>
      <c r="E16" s="23" t="s">
        <v>42</v>
      </c>
      <c r="F16" s="24">
        <f ca="1">NOW()+15018.5+$C$5/24</f>
        <v>60340.714120717588</v>
      </c>
    </row>
    <row r="17" spans="1:17" ht="13.5" thickBot="1">
      <c r="A17" s="23" t="s">
        <v>38</v>
      </c>
      <c r="B17" s="16"/>
      <c r="C17" s="16">
        <f>COUNT(C21:C2191)</f>
        <v>29</v>
      </c>
      <c r="E17" s="23" t="s">
        <v>49</v>
      </c>
      <c r="F17" s="24">
        <f ca="1">ROUND(2*(F16-$C$7)/$C$8,0)/2+F15</f>
        <v>21549</v>
      </c>
    </row>
    <row r="18" spans="1:17" ht="14.25" thickTop="1" thickBot="1">
      <c r="A18" s="25" t="s">
        <v>7</v>
      </c>
      <c r="B18" s="16"/>
      <c r="C18" s="28">
        <f ca="1">+C15</f>
        <v>57576.865711951112</v>
      </c>
      <c r="D18" s="29">
        <f ca="1">+C16</f>
        <v>1.2334549343343624</v>
      </c>
      <c r="E18" s="23" t="s">
        <v>43</v>
      </c>
      <c r="F18" s="12">
        <f ca="1">ROUND(2*(F16-$C$15)/$C$16,0)/2+F15</f>
        <v>2241.5</v>
      </c>
    </row>
    <row r="19" spans="1:17" ht="13.5" thickTop="1">
      <c r="E19" s="23" t="s">
        <v>44</v>
      </c>
      <c r="F19" s="27">
        <f ca="1">+$C$15+$C$16*F18-15018.5-$C$5/24</f>
        <v>45323.550780594924</v>
      </c>
    </row>
    <row r="20" spans="1:17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59</v>
      </c>
      <c r="I20" s="9" t="s">
        <v>62</v>
      </c>
      <c r="J20" s="9" t="s">
        <v>56</v>
      </c>
      <c r="K20" s="9" t="s">
        <v>47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</row>
    <row r="21" spans="1:17">
      <c r="A21" s="52" t="s">
        <v>69</v>
      </c>
      <c r="B21" s="53" t="s">
        <v>34</v>
      </c>
      <c r="C21" s="52">
        <v>28315.5</v>
      </c>
      <c r="D21" s="52" t="s">
        <v>62</v>
      </c>
      <c r="E21">
        <f t="shared" ref="E21:E33" si="0">+(C21-C$7)/C$8</f>
        <v>-4415.9621513558213</v>
      </c>
      <c r="F21">
        <f t="shared" ref="F21:F49" si="1">ROUND(2*E21,0)/2</f>
        <v>-4416</v>
      </c>
      <c r="G21">
        <f t="shared" ref="G21:G32" si="2">+C21-(C$7+F21*C$8)</f>
        <v>4.6684800003276905E-2</v>
      </c>
      <c r="H21">
        <f t="shared" ref="H21:H32" si="3">+G21</f>
        <v>4.6684800003276905E-2</v>
      </c>
      <c r="O21">
        <f t="shared" ref="O21:O33" ca="1" si="4">+C$11+C$12*F21</f>
        <v>0.16098953703339408</v>
      </c>
      <c r="Q21" s="2">
        <f t="shared" ref="Q21:Q33" si="5">+C21-15018.5</f>
        <v>13297</v>
      </c>
    </row>
    <row r="22" spans="1:17">
      <c r="A22" s="52" t="s">
        <v>69</v>
      </c>
      <c r="B22" s="53" t="s">
        <v>34</v>
      </c>
      <c r="C22" s="52">
        <v>28664.5</v>
      </c>
      <c r="D22" s="52" t="s">
        <v>62</v>
      </c>
      <c r="E22">
        <f t="shared" si="0"/>
        <v>-4133.018306304627</v>
      </c>
      <c r="F22">
        <f t="shared" si="1"/>
        <v>-4133</v>
      </c>
      <c r="G22">
        <f t="shared" si="2"/>
        <v>-2.2580099997867364E-2</v>
      </c>
      <c r="H22">
        <f t="shared" si="3"/>
        <v>-2.2580099997867364E-2</v>
      </c>
      <c r="O22">
        <f t="shared" ca="1" si="4"/>
        <v>0.159471053657958</v>
      </c>
      <c r="Q22" s="2">
        <f t="shared" si="5"/>
        <v>13646</v>
      </c>
    </row>
    <row r="23" spans="1:17">
      <c r="A23" s="52" t="s">
        <v>69</v>
      </c>
      <c r="B23" s="53" t="s">
        <v>34</v>
      </c>
      <c r="C23" s="52">
        <v>29013.54</v>
      </c>
      <c r="D23" s="52" t="s">
        <v>62</v>
      </c>
      <c r="E23">
        <f t="shared" si="0"/>
        <v>-3850.0420321594429</v>
      </c>
      <c r="F23">
        <f t="shared" si="1"/>
        <v>-3850</v>
      </c>
      <c r="G23">
        <f t="shared" si="2"/>
        <v>-5.184499999450054E-2</v>
      </c>
      <c r="H23">
        <f t="shared" si="3"/>
        <v>-5.184499999450054E-2</v>
      </c>
      <c r="O23">
        <f t="shared" ca="1" si="4"/>
        <v>0.15795257028252191</v>
      </c>
      <c r="Q23" s="2">
        <f t="shared" si="5"/>
        <v>13995.04</v>
      </c>
    </row>
    <row r="24" spans="1:17">
      <c r="A24" s="52" t="s">
        <v>69</v>
      </c>
      <c r="B24" s="53" t="s">
        <v>34</v>
      </c>
      <c r="C24" s="52">
        <v>29108.51</v>
      </c>
      <c r="D24" s="52" t="s">
        <v>62</v>
      </c>
      <c r="E24">
        <f t="shared" si="0"/>
        <v>-3773.0472557568319</v>
      </c>
      <c r="F24">
        <f t="shared" si="1"/>
        <v>-3773</v>
      </c>
      <c r="G24">
        <f t="shared" si="2"/>
        <v>-5.8288099997298559E-2</v>
      </c>
      <c r="H24">
        <f t="shared" si="3"/>
        <v>-5.8288099997298559E-2</v>
      </c>
      <c r="O24">
        <f t="shared" ca="1" si="4"/>
        <v>0.157539414028428</v>
      </c>
      <c r="Q24" s="2">
        <f t="shared" si="5"/>
        <v>14090.009999999998</v>
      </c>
    </row>
    <row r="25" spans="1:17">
      <c r="A25" s="52" t="s">
        <v>69</v>
      </c>
      <c r="B25" s="53" t="s">
        <v>34</v>
      </c>
      <c r="C25" s="52">
        <v>29113.47</v>
      </c>
      <c r="D25" s="52" t="s">
        <v>62</v>
      </c>
      <c r="E25">
        <f t="shared" si="0"/>
        <v>-3769.0260481022342</v>
      </c>
      <c r="F25">
        <f t="shared" si="1"/>
        <v>-3769</v>
      </c>
      <c r="G25">
        <f t="shared" si="2"/>
        <v>-3.2129299994267058E-2</v>
      </c>
      <c r="H25">
        <f t="shared" si="3"/>
        <v>-3.2129299994267058E-2</v>
      </c>
      <c r="O25">
        <f t="shared" ca="1" si="4"/>
        <v>0.15751795136587765</v>
      </c>
      <c r="Q25" s="2">
        <f t="shared" si="5"/>
        <v>14094.970000000001</v>
      </c>
    </row>
    <row r="26" spans="1:17">
      <c r="A26" s="52" t="s">
        <v>69</v>
      </c>
      <c r="B26" s="53" t="s">
        <v>34</v>
      </c>
      <c r="C26" s="52">
        <v>29160.38</v>
      </c>
      <c r="D26" s="52" t="s">
        <v>62</v>
      </c>
      <c r="E26">
        <f t="shared" si="0"/>
        <v>-3730.9948281270149</v>
      </c>
      <c r="F26">
        <f t="shared" si="1"/>
        <v>-3731</v>
      </c>
      <c r="G26">
        <f t="shared" si="2"/>
        <v>6.3793000044825021E-3</v>
      </c>
      <c r="H26">
        <f t="shared" si="3"/>
        <v>6.3793000044825021E-3</v>
      </c>
      <c r="O26">
        <f t="shared" ca="1" si="4"/>
        <v>0.1573140560716495</v>
      </c>
      <c r="Q26" s="2">
        <f t="shared" si="5"/>
        <v>14141.880000000001</v>
      </c>
    </row>
    <row r="27" spans="1:17">
      <c r="A27" s="52" t="s">
        <v>69</v>
      </c>
      <c r="B27" s="53" t="s">
        <v>34</v>
      </c>
      <c r="C27" s="52">
        <v>29165.33</v>
      </c>
      <c r="D27" s="52" t="s">
        <v>62</v>
      </c>
      <c r="E27">
        <f t="shared" si="0"/>
        <v>-3726.9817277459156</v>
      </c>
      <c r="F27">
        <f t="shared" si="1"/>
        <v>-3727</v>
      </c>
      <c r="G27">
        <f t="shared" si="2"/>
        <v>2.2538100005476736E-2</v>
      </c>
      <c r="H27">
        <f t="shared" si="3"/>
        <v>2.2538100005476736E-2</v>
      </c>
      <c r="O27">
        <f t="shared" ca="1" si="4"/>
        <v>0.15729259340909915</v>
      </c>
      <c r="Q27" s="2">
        <f t="shared" si="5"/>
        <v>14146.830000000002</v>
      </c>
    </row>
    <row r="28" spans="1:17">
      <c r="A28" s="52" t="s">
        <v>69</v>
      </c>
      <c r="B28" s="53" t="s">
        <v>34</v>
      </c>
      <c r="C28" s="52">
        <v>29499.55</v>
      </c>
      <c r="D28" s="52" t="s">
        <v>62</v>
      </c>
      <c r="E28">
        <f t="shared" si="0"/>
        <v>-3456.0204329235389</v>
      </c>
      <c r="F28">
        <f t="shared" si="1"/>
        <v>-3456</v>
      </c>
      <c r="G28">
        <f t="shared" si="2"/>
        <v>-2.5203199998941272E-2</v>
      </c>
      <c r="H28">
        <f t="shared" si="3"/>
        <v>-2.5203199998941272E-2</v>
      </c>
      <c r="O28">
        <f t="shared" ca="1" si="4"/>
        <v>0.15583849802131408</v>
      </c>
      <c r="Q28" s="2">
        <f t="shared" si="5"/>
        <v>14481.05</v>
      </c>
    </row>
    <row r="29" spans="1:17">
      <c r="A29" s="52" t="s">
        <v>69</v>
      </c>
      <c r="B29" s="53" t="s">
        <v>34</v>
      </c>
      <c r="C29" s="52">
        <v>29910.31</v>
      </c>
      <c r="D29" s="52" t="s">
        <v>62</v>
      </c>
      <c r="E29">
        <f t="shared" si="0"/>
        <v>-3123.0060667538273</v>
      </c>
      <c r="F29">
        <f t="shared" si="1"/>
        <v>-3123</v>
      </c>
      <c r="G29">
        <f t="shared" si="2"/>
        <v>-7.4830999947153032E-3</v>
      </c>
      <c r="H29">
        <f t="shared" si="3"/>
        <v>-7.4830999947153032E-3</v>
      </c>
      <c r="O29">
        <f t="shared" ca="1" si="4"/>
        <v>0.1540517313639988</v>
      </c>
      <c r="Q29" s="2">
        <f t="shared" si="5"/>
        <v>14891.810000000001</v>
      </c>
    </row>
    <row r="30" spans="1:17">
      <c r="A30" s="52" t="s">
        <v>69</v>
      </c>
      <c r="B30" s="53" t="s">
        <v>34</v>
      </c>
      <c r="C30" s="52">
        <v>29952.240000000002</v>
      </c>
      <c r="D30" s="52" t="s">
        <v>62</v>
      </c>
      <c r="E30">
        <f t="shared" si="0"/>
        <v>-3089.0122689801979</v>
      </c>
      <c r="F30">
        <f t="shared" si="1"/>
        <v>-3089</v>
      </c>
      <c r="G30">
        <f t="shared" si="2"/>
        <v>-1.5133299995795824E-2</v>
      </c>
      <c r="H30">
        <f t="shared" si="3"/>
        <v>-1.5133299995795824E-2</v>
      </c>
      <c r="O30">
        <f t="shared" ca="1" si="4"/>
        <v>0.15386929873232097</v>
      </c>
      <c r="Q30" s="2">
        <f t="shared" si="5"/>
        <v>14933.740000000002</v>
      </c>
    </row>
    <row r="31" spans="1:17">
      <c r="A31" s="52" t="s">
        <v>69</v>
      </c>
      <c r="B31" s="53" t="s">
        <v>34</v>
      </c>
      <c r="C31" s="52">
        <v>30999.48</v>
      </c>
      <c r="D31" s="52" t="s">
        <v>62</v>
      </c>
      <c r="E31">
        <f t="shared" si="0"/>
        <v>-2239.9861592626835</v>
      </c>
      <c r="F31">
        <f t="shared" si="1"/>
        <v>-2240</v>
      </c>
      <c r="G31">
        <f t="shared" si="2"/>
        <v>1.7072000002372079E-2</v>
      </c>
      <c r="H31">
        <f t="shared" si="3"/>
        <v>1.7072000002372079E-2</v>
      </c>
      <c r="O31">
        <f t="shared" ca="1" si="4"/>
        <v>0.14931384860601271</v>
      </c>
      <c r="Q31" s="2">
        <f t="shared" si="5"/>
        <v>15980.98</v>
      </c>
    </row>
    <row r="32" spans="1:17">
      <c r="A32" s="52" t="s">
        <v>69</v>
      </c>
      <c r="B32" s="53" t="s">
        <v>34</v>
      </c>
      <c r="C32" s="52">
        <v>31030.3</v>
      </c>
      <c r="D32" s="52" t="s">
        <v>62</v>
      </c>
      <c r="E32">
        <f t="shared" si="0"/>
        <v>-2214.9995423444093</v>
      </c>
      <c r="F32">
        <f t="shared" si="1"/>
        <v>-2215</v>
      </c>
      <c r="G32">
        <f t="shared" si="2"/>
        <v>5.6450000192853622E-4</v>
      </c>
      <c r="H32">
        <f t="shared" si="3"/>
        <v>5.6450000192853622E-4</v>
      </c>
      <c r="O32">
        <f t="shared" ca="1" si="4"/>
        <v>0.14917970696507313</v>
      </c>
      <c r="Q32" s="2">
        <f t="shared" si="5"/>
        <v>16011.8</v>
      </c>
    </row>
    <row r="33" spans="1:31">
      <c r="A33" t="s">
        <v>14</v>
      </c>
      <c r="C33" s="14">
        <v>33762.413999999997</v>
      </c>
      <c r="D33" s="14" t="s">
        <v>16</v>
      </c>
      <c r="E33">
        <f t="shared" si="0"/>
        <v>0</v>
      </c>
      <c r="F33">
        <f t="shared" si="1"/>
        <v>0</v>
      </c>
      <c r="H33" s="12">
        <v>0</v>
      </c>
      <c r="O33">
        <f t="shared" ca="1" si="4"/>
        <v>0.137294757577826</v>
      </c>
      <c r="Q33" s="2">
        <f t="shared" si="5"/>
        <v>18743.913999999997</v>
      </c>
    </row>
    <row r="34" spans="1:31">
      <c r="A34" s="52" t="s">
        <v>104</v>
      </c>
      <c r="B34" s="53" t="s">
        <v>34</v>
      </c>
      <c r="C34" s="52">
        <v>48503.572</v>
      </c>
      <c r="D34" s="52" t="s">
        <v>62</v>
      </c>
      <c r="E34">
        <f t="shared" ref="E34:E49" si="6">+(C34-C$7)/C$8</f>
        <v>11951.059957097934</v>
      </c>
      <c r="F34">
        <f t="shared" si="1"/>
        <v>11951</v>
      </c>
      <c r="G34">
        <f t="shared" ref="G34:G49" si="7">+C34-(C$7+F34*C$8)</f>
        <v>7.3954700004833285E-2</v>
      </c>
      <c r="I34">
        <f>+G34</f>
        <v>7.3954700004833285E-2</v>
      </c>
      <c r="O34">
        <f t="shared" ref="O34:O49" ca="1" si="8">+C$11+C$12*F34</f>
        <v>7.3169687543067324E-2</v>
      </c>
      <c r="Q34" s="2">
        <f t="shared" ref="Q34:Q49" si="9">+C34-15018.5</f>
        <v>33485.072</v>
      </c>
    </row>
    <row r="35" spans="1:31">
      <c r="A35" t="s">
        <v>31</v>
      </c>
      <c r="C35" s="34">
        <v>50944.576999999997</v>
      </c>
      <c r="D35" s="14">
        <v>5.0000000000000001E-3</v>
      </c>
      <c r="E35">
        <f t="shared" si="6"/>
        <v>13930.049471393608</v>
      </c>
      <c r="F35">
        <f t="shared" si="1"/>
        <v>13930</v>
      </c>
      <c r="G35">
        <f t="shared" si="7"/>
        <v>6.1021000001346692E-2</v>
      </c>
      <c r="I35">
        <f>+G35</f>
        <v>6.1021000001346692E-2</v>
      </c>
      <c r="O35">
        <f t="shared" ca="1" si="8"/>
        <v>6.2551035246289868E-2</v>
      </c>
      <c r="Q35" s="2">
        <f t="shared" si="9"/>
        <v>35926.076999999997</v>
      </c>
      <c r="AA35">
        <v>12</v>
      </c>
      <c r="AC35" t="s">
        <v>30</v>
      </c>
      <c r="AE35" t="s">
        <v>32</v>
      </c>
    </row>
    <row r="36" spans="1:31">
      <c r="A36" t="s">
        <v>33</v>
      </c>
      <c r="B36" s="5" t="s">
        <v>34</v>
      </c>
      <c r="C36" s="35">
        <v>51778.395600000003</v>
      </c>
      <c r="D36" s="35">
        <v>8.3000000000000001E-3</v>
      </c>
      <c r="E36">
        <f t="shared" si="6"/>
        <v>14606.049015116261</v>
      </c>
      <c r="F36">
        <f t="shared" si="1"/>
        <v>14606</v>
      </c>
      <c r="G36">
        <f t="shared" si="7"/>
        <v>6.0458200008724816E-2</v>
      </c>
      <c r="K36">
        <f>+G36</f>
        <v>6.0458200008724816E-2</v>
      </c>
      <c r="O36">
        <f t="shared" ca="1" si="8"/>
        <v>5.8923845275283521E-2</v>
      </c>
      <c r="Q36" s="2">
        <f t="shared" si="9"/>
        <v>36759.895600000003</v>
      </c>
    </row>
    <row r="37" spans="1:31">
      <c r="A37" s="52" t="s">
        <v>120</v>
      </c>
      <c r="B37" s="53" t="s">
        <v>34</v>
      </c>
      <c r="C37" s="52">
        <v>52090.461300000003</v>
      </c>
      <c r="D37" s="52" t="s">
        <v>62</v>
      </c>
      <c r="E37">
        <f t="shared" si="6"/>
        <v>14859.049213014805</v>
      </c>
      <c r="F37">
        <f t="shared" si="1"/>
        <v>14859</v>
      </c>
      <c r="G37">
        <f t="shared" si="7"/>
        <v>6.0702300004777499E-2</v>
      </c>
      <c r="K37">
        <f>+G37</f>
        <v>6.0702300004777499E-2</v>
      </c>
      <c r="O37">
        <f t="shared" ca="1" si="8"/>
        <v>5.7566331868974932E-2</v>
      </c>
      <c r="Q37" s="2">
        <f t="shared" si="9"/>
        <v>37071.961300000003</v>
      </c>
    </row>
    <row r="38" spans="1:31">
      <c r="A38" s="32" t="s">
        <v>46</v>
      </c>
      <c r="B38" s="33" t="s">
        <v>34</v>
      </c>
      <c r="C38" s="32">
        <v>52122.537199999999</v>
      </c>
      <c r="D38" s="32" t="s">
        <v>47</v>
      </c>
      <c r="E38">
        <f t="shared" si="6"/>
        <v>14885.054022411587</v>
      </c>
      <c r="F38">
        <f t="shared" si="1"/>
        <v>14885</v>
      </c>
      <c r="G38">
        <f t="shared" si="7"/>
        <v>6.6634499999054242E-2</v>
      </c>
      <c r="K38">
        <f>+G38</f>
        <v>6.6634499999054242E-2</v>
      </c>
      <c r="O38">
        <f t="shared" ca="1" si="8"/>
        <v>5.7426824562397755E-2</v>
      </c>
      <c r="Q38" s="2">
        <f t="shared" si="9"/>
        <v>37104.037199999999</v>
      </c>
    </row>
    <row r="39" spans="1:31">
      <c r="A39" s="10" t="s">
        <v>35</v>
      </c>
      <c r="B39" s="11"/>
      <c r="C39" s="36">
        <v>52864.447999999997</v>
      </c>
      <c r="D39" s="36">
        <v>4.0000000000000002E-4</v>
      </c>
      <c r="E39">
        <f t="shared" si="6"/>
        <v>15486.541399021922</v>
      </c>
      <c r="F39">
        <f t="shared" si="1"/>
        <v>15486.5</v>
      </c>
      <c r="G39">
        <f t="shared" si="7"/>
        <v>5.1064049999695271E-2</v>
      </c>
      <c r="J39">
        <f>+G39</f>
        <v>5.1064049999695271E-2</v>
      </c>
      <c r="O39">
        <f t="shared" ca="1" si="8"/>
        <v>5.4199376681391367E-2</v>
      </c>
      <c r="Q39" s="2">
        <f t="shared" si="9"/>
        <v>37845.947999999997</v>
      </c>
    </row>
    <row r="40" spans="1:31">
      <c r="A40" s="10" t="s">
        <v>36</v>
      </c>
      <c r="B40" s="13"/>
      <c r="C40" s="14">
        <v>53152.461900000002</v>
      </c>
      <c r="D40" s="14">
        <v>2.9999999999999997E-4</v>
      </c>
      <c r="E40">
        <f t="shared" si="6"/>
        <v>15720.042144850553</v>
      </c>
      <c r="F40">
        <f t="shared" si="1"/>
        <v>15720</v>
      </c>
      <c r="G40">
        <f t="shared" si="7"/>
        <v>5.1984000005177222E-2</v>
      </c>
      <c r="J40">
        <f>+G40</f>
        <v>5.1984000005177222E-2</v>
      </c>
      <c r="O40">
        <f t="shared" ca="1" si="8"/>
        <v>5.2946493755015658E-2</v>
      </c>
      <c r="Q40" s="2">
        <f t="shared" si="9"/>
        <v>38133.961900000002</v>
      </c>
    </row>
    <row r="41" spans="1:31">
      <c r="A41" s="16" t="s">
        <v>39</v>
      </c>
      <c r="B41" s="11"/>
      <c r="C41" s="14">
        <v>53601.435899999997</v>
      </c>
      <c r="D41" s="14">
        <v>1.1000000000000001E-3</v>
      </c>
      <c r="E41">
        <f t="shared" si="6"/>
        <v>16084.037645962339</v>
      </c>
      <c r="F41">
        <f t="shared" si="1"/>
        <v>16084</v>
      </c>
      <c r="G41">
        <f t="shared" si="7"/>
        <v>4.6434799995040521E-2</v>
      </c>
      <c r="J41">
        <f>+G41</f>
        <v>4.6434799995040521E-2</v>
      </c>
      <c r="O41">
        <f t="shared" ca="1" si="8"/>
        <v>5.0993391462935314E-2</v>
      </c>
      <c r="Q41" s="2">
        <f t="shared" si="9"/>
        <v>38582.935899999997</v>
      </c>
    </row>
    <row r="42" spans="1:31">
      <c r="A42" s="16" t="s">
        <v>39</v>
      </c>
      <c r="B42" s="11"/>
      <c r="C42" s="14">
        <v>53622.406300000002</v>
      </c>
      <c r="D42" s="14">
        <v>3.3E-3</v>
      </c>
      <c r="E42">
        <f t="shared" si="6"/>
        <v>16101.038922776846</v>
      </c>
      <c r="F42">
        <f t="shared" si="1"/>
        <v>16101</v>
      </c>
      <c r="G42">
        <f t="shared" si="7"/>
        <v>4.8009700010879897E-2</v>
      </c>
      <c r="J42">
        <f>+G42</f>
        <v>4.8009700010879897E-2</v>
      </c>
      <c r="O42">
        <f t="shared" ca="1" si="8"/>
        <v>5.0902175147096398E-2</v>
      </c>
      <c r="Q42" s="2">
        <f t="shared" si="9"/>
        <v>38603.906300000002</v>
      </c>
    </row>
    <row r="43" spans="1:31">
      <c r="A43" s="52" t="s">
        <v>151</v>
      </c>
      <c r="B43" s="53" t="s">
        <v>34</v>
      </c>
      <c r="C43" s="52">
        <v>54357.5429</v>
      </c>
      <c r="D43" s="52" t="s">
        <v>62</v>
      </c>
      <c r="E43">
        <f t="shared" si="6"/>
        <v>16697.034270174732</v>
      </c>
      <c r="F43">
        <f t="shared" si="1"/>
        <v>16697</v>
      </c>
      <c r="G43">
        <f t="shared" si="7"/>
        <v>4.2270900004950818E-2</v>
      </c>
      <c r="K43">
        <f>+G43</f>
        <v>4.2270900004950818E-2</v>
      </c>
      <c r="O43">
        <f t="shared" ca="1" si="8"/>
        <v>4.7704238427096729E-2</v>
      </c>
      <c r="Q43" s="2">
        <f t="shared" si="9"/>
        <v>39339.0429</v>
      </c>
    </row>
    <row r="44" spans="1:31">
      <c r="A44" s="52" t="s">
        <v>157</v>
      </c>
      <c r="B44" s="53" t="s">
        <v>34</v>
      </c>
      <c r="C44" s="52">
        <v>55059.386400000003</v>
      </c>
      <c r="D44" s="52" t="s">
        <v>62</v>
      </c>
      <c r="E44">
        <f t="shared" si="6"/>
        <v>17266.037990845758</v>
      </c>
      <c r="F44">
        <f t="shared" si="1"/>
        <v>17266</v>
      </c>
      <c r="G44">
        <f t="shared" si="7"/>
        <v>4.686020000372082E-2</v>
      </c>
      <c r="K44">
        <f>+G44</f>
        <v>4.686020000372082E-2</v>
      </c>
      <c r="O44">
        <f t="shared" ca="1" si="8"/>
        <v>4.4651174679311789E-2</v>
      </c>
      <c r="Q44" s="2">
        <f t="shared" si="9"/>
        <v>40040.886400000003</v>
      </c>
    </row>
    <row r="45" spans="1:31">
      <c r="A45" s="52" t="s">
        <v>157</v>
      </c>
      <c r="B45" s="53" t="s">
        <v>34</v>
      </c>
      <c r="C45" s="52">
        <v>55102.552799999998</v>
      </c>
      <c r="D45" s="52" t="s">
        <v>62</v>
      </c>
      <c r="E45">
        <f t="shared" si="6"/>
        <v>17301.034171914573</v>
      </c>
      <c r="F45">
        <f t="shared" si="1"/>
        <v>17301</v>
      </c>
      <c r="G45">
        <f t="shared" si="7"/>
        <v>4.2149699998844881E-2</v>
      </c>
      <c r="K45">
        <f>+G45</f>
        <v>4.2149699998844881E-2</v>
      </c>
      <c r="O45">
        <f t="shared" ca="1" si="8"/>
        <v>4.4463376381996378E-2</v>
      </c>
      <c r="Q45" s="2">
        <f t="shared" si="9"/>
        <v>40084.052799999998</v>
      </c>
    </row>
    <row r="46" spans="1:31">
      <c r="A46" s="37" t="s">
        <v>52</v>
      </c>
      <c r="B46" s="37"/>
      <c r="C46" s="38">
        <v>55429.418899999997</v>
      </c>
      <c r="D46" s="38">
        <v>2.3E-3</v>
      </c>
      <c r="E46">
        <f t="shared" si="6"/>
        <v>17566.033458879869</v>
      </c>
      <c r="F46">
        <f t="shared" si="1"/>
        <v>17566</v>
      </c>
      <c r="G46">
        <f t="shared" si="7"/>
        <v>4.1270199995778967E-2</v>
      </c>
      <c r="J46">
        <f>+G46</f>
        <v>4.1270199995778967E-2</v>
      </c>
      <c r="O46">
        <f t="shared" ca="1" si="8"/>
        <v>4.3041474988036788E-2</v>
      </c>
      <c r="Q46" s="2">
        <f t="shared" si="9"/>
        <v>40410.918899999997</v>
      </c>
    </row>
    <row r="47" spans="1:31">
      <c r="A47" s="54" t="s">
        <v>50</v>
      </c>
      <c r="B47" s="55" t="s">
        <v>34</v>
      </c>
      <c r="C47" s="54">
        <v>56491.426800000001</v>
      </c>
      <c r="D47" s="54">
        <v>1.1000000000000001E-3</v>
      </c>
      <c r="E47">
        <f t="shared" si="6"/>
        <v>18427.032309025271</v>
      </c>
      <c r="F47">
        <f t="shared" si="1"/>
        <v>18427</v>
      </c>
      <c r="G47">
        <f t="shared" si="7"/>
        <v>3.9851900000940077E-2</v>
      </c>
      <c r="J47">
        <f>+G47</f>
        <v>3.9851900000940077E-2</v>
      </c>
      <c r="O47">
        <f t="shared" ca="1" si="8"/>
        <v>3.8421636874077514E-2</v>
      </c>
      <c r="Q47" s="2">
        <f t="shared" si="9"/>
        <v>41472.926800000001</v>
      </c>
    </row>
    <row r="48" spans="1:31">
      <c r="A48" s="59" t="s">
        <v>172</v>
      </c>
      <c r="B48" s="60" t="s">
        <v>34</v>
      </c>
      <c r="C48" s="61">
        <v>57131.593699999998</v>
      </c>
      <c r="D48" s="61">
        <v>5.0000000000000001E-4</v>
      </c>
      <c r="E48">
        <f t="shared" si="6"/>
        <v>18946.033123238747</v>
      </c>
      <c r="F48">
        <f t="shared" si="1"/>
        <v>18946</v>
      </c>
      <c r="G48">
        <f t="shared" si="7"/>
        <v>4.0856200001144316E-2</v>
      </c>
      <c r="K48">
        <f>+G48</f>
        <v>4.0856200001144316E-2</v>
      </c>
      <c r="O48">
        <f t="shared" ca="1" si="8"/>
        <v>3.5636856408171755E-2</v>
      </c>
      <c r="Q48" s="2">
        <f t="shared" si="9"/>
        <v>42113.093699999998</v>
      </c>
    </row>
    <row r="49" spans="1:17">
      <c r="A49" s="56" t="s">
        <v>0</v>
      </c>
      <c r="B49" s="57" t="s">
        <v>1</v>
      </c>
      <c r="C49" s="58">
        <v>57577.482300000003</v>
      </c>
      <c r="D49" s="58">
        <v>2.0000000000000001E-4</v>
      </c>
      <c r="E49">
        <f t="shared" si="6"/>
        <v>19307.527206185725</v>
      </c>
      <c r="F49">
        <f t="shared" si="1"/>
        <v>19307.5</v>
      </c>
      <c r="G49">
        <f t="shared" si="7"/>
        <v>3.3557750008185394E-2</v>
      </c>
      <c r="K49">
        <f>+G49</f>
        <v>3.3557750008185394E-2</v>
      </c>
      <c r="O49">
        <f t="shared" ca="1" si="8"/>
        <v>3.3697168280185374E-2</v>
      </c>
      <c r="Q49" s="2">
        <f t="shared" si="9"/>
        <v>42558.982300000003</v>
      </c>
    </row>
    <row r="50" spans="1:17">
      <c r="B50" s="5"/>
    </row>
    <row r="51" spans="1:17">
      <c r="B51" s="5"/>
    </row>
    <row r="52" spans="1:17">
      <c r="B52" s="5"/>
    </row>
    <row r="53" spans="1:17">
      <c r="B53" s="5"/>
    </row>
    <row r="54" spans="1:17">
      <c r="B54" s="5"/>
    </row>
    <row r="55" spans="1:17">
      <c r="B55" s="5"/>
    </row>
    <row r="56" spans="1:17">
      <c r="B56" s="5"/>
    </row>
    <row r="57" spans="1:17">
      <c r="B57" s="5"/>
    </row>
    <row r="58" spans="1:17">
      <c r="B58" s="5"/>
    </row>
    <row r="59" spans="1:17">
      <c r="B59" s="5"/>
    </row>
    <row r="60" spans="1:17">
      <c r="B60" s="5"/>
    </row>
    <row r="61" spans="1:17">
      <c r="B61" s="5"/>
    </row>
    <row r="62" spans="1:17">
      <c r="B62" s="5"/>
    </row>
    <row r="63" spans="1:17">
      <c r="B63" s="5"/>
    </row>
    <row r="64" spans="1:17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</sheetData>
  <phoneticPr fontId="8" type="noConversion"/>
  <hyperlinks>
    <hyperlink ref="H101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0"/>
  <sheetViews>
    <sheetView workbookViewId="0">
      <selection activeCell="A20" sqref="A20:D36"/>
    </sheetView>
  </sheetViews>
  <sheetFormatPr defaultRowHeight="12.75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9" t="s">
        <v>53</v>
      </c>
      <c r="I1" s="40" t="s">
        <v>54</v>
      </c>
      <c r="J1" s="41" t="s">
        <v>47</v>
      </c>
    </row>
    <row r="2" spans="1:16">
      <c r="I2" s="42" t="s">
        <v>55</v>
      </c>
      <c r="J2" s="43" t="s">
        <v>56</v>
      </c>
    </row>
    <row r="3" spans="1:16">
      <c r="A3" s="44" t="s">
        <v>57</v>
      </c>
      <c r="I3" s="42" t="s">
        <v>58</v>
      </c>
      <c r="J3" s="43" t="s">
        <v>59</v>
      </c>
    </row>
    <row r="4" spans="1:16">
      <c r="I4" s="42" t="s">
        <v>60</v>
      </c>
      <c r="J4" s="43" t="s">
        <v>59</v>
      </c>
    </row>
    <row r="5" spans="1:16" ht="13.5" thickBot="1">
      <c r="I5" s="45" t="s">
        <v>61</v>
      </c>
      <c r="J5" s="46" t="s">
        <v>62</v>
      </c>
    </row>
    <row r="10" spans="1:16" ht="13.5" thickBot="1"/>
    <row r="11" spans="1:16" ht="12.75" customHeight="1" thickBot="1">
      <c r="A11" s="14" t="str">
        <f t="shared" ref="A11:A36" si="0">P11</f>
        <v> BBS 118 </v>
      </c>
      <c r="B11" s="5" t="str">
        <f t="shared" ref="B11:B36" si="1">IF(H11=INT(H11),"I","II")</f>
        <v>I</v>
      </c>
      <c r="C11" s="14">
        <f t="shared" ref="C11:C36" si="2">1*G11</f>
        <v>50944.576999999997</v>
      </c>
      <c r="D11" s="16" t="str">
        <f t="shared" ref="D11:D36" si="3">VLOOKUP(F11,I$1:J$5,2,FALSE)</f>
        <v>vis</v>
      </c>
      <c r="E11" s="47">
        <f>VLOOKUP(C11,Active!C$21:E$973,3,FALSE)</f>
        <v>13930.049471393608</v>
      </c>
      <c r="F11" s="5" t="s">
        <v>61</v>
      </c>
      <c r="G11" s="16" t="str">
        <f t="shared" ref="G11:G36" si="4">MID(I11,3,LEN(I11)-3)</f>
        <v>50944.577</v>
      </c>
      <c r="H11" s="14">
        <f t="shared" ref="H11:H36" si="5">1*K11</f>
        <v>13930</v>
      </c>
      <c r="I11" s="48" t="s">
        <v>105</v>
      </c>
      <c r="J11" s="49" t="s">
        <v>106</v>
      </c>
      <c r="K11" s="48">
        <v>13930</v>
      </c>
      <c r="L11" s="48" t="s">
        <v>107</v>
      </c>
      <c r="M11" s="49" t="s">
        <v>108</v>
      </c>
      <c r="N11" s="49" t="s">
        <v>109</v>
      </c>
      <c r="O11" s="50" t="s">
        <v>110</v>
      </c>
      <c r="P11" s="50" t="s">
        <v>111</v>
      </c>
    </row>
    <row r="12" spans="1:16" ht="12.75" customHeight="1" thickBot="1">
      <c r="A12" s="14" t="str">
        <f t="shared" si="0"/>
        <v>IBVS 5287 </v>
      </c>
      <c r="B12" s="5" t="str">
        <f t="shared" si="1"/>
        <v>I</v>
      </c>
      <c r="C12" s="14">
        <f t="shared" si="2"/>
        <v>51778.395600000003</v>
      </c>
      <c r="D12" s="16" t="str">
        <f t="shared" si="3"/>
        <v>vis</v>
      </c>
      <c r="E12" s="47">
        <f>VLOOKUP(C12,Active!C$21:E$973,3,FALSE)</f>
        <v>14606.049015116261</v>
      </c>
      <c r="F12" s="5" t="s">
        <v>61</v>
      </c>
      <c r="G12" s="16" t="str">
        <f t="shared" si="4"/>
        <v>51778.3956</v>
      </c>
      <c r="H12" s="14">
        <f t="shared" si="5"/>
        <v>14606</v>
      </c>
      <c r="I12" s="48" t="s">
        <v>112</v>
      </c>
      <c r="J12" s="49" t="s">
        <v>113</v>
      </c>
      <c r="K12" s="48">
        <v>14606</v>
      </c>
      <c r="L12" s="48" t="s">
        <v>114</v>
      </c>
      <c r="M12" s="49" t="s">
        <v>108</v>
      </c>
      <c r="N12" s="49" t="s">
        <v>109</v>
      </c>
      <c r="O12" s="50" t="s">
        <v>115</v>
      </c>
      <c r="P12" s="51" t="s">
        <v>116</v>
      </c>
    </row>
    <row r="13" spans="1:16" ht="12.75" customHeight="1" thickBot="1">
      <c r="A13" s="14" t="str">
        <f t="shared" si="0"/>
        <v>OEJV 0074 </v>
      </c>
      <c r="B13" s="5" t="str">
        <f t="shared" si="1"/>
        <v>I</v>
      </c>
      <c r="C13" s="14">
        <f t="shared" si="2"/>
        <v>52122.537199999999</v>
      </c>
      <c r="D13" s="16" t="str">
        <f t="shared" si="3"/>
        <v>vis</v>
      </c>
      <c r="E13" s="47">
        <f>VLOOKUP(C13,Active!C$21:E$973,3,FALSE)</f>
        <v>14885.054022411587</v>
      </c>
      <c r="F13" s="5" t="s">
        <v>61</v>
      </c>
      <c r="G13" s="16" t="str">
        <f t="shared" si="4"/>
        <v>52122.53720</v>
      </c>
      <c r="H13" s="14">
        <f t="shared" si="5"/>
        <v>14885</v>
      </c>
      <c r="I13" s="48" t="s">
        <v>121</v>
      </c>
      <c r="J13" s="49" t="s">
        <v>122</v>
      </c>
      <c r="K13" s="48">
        <v>14885</v>
      </c>
      <c r="L13" s="48" t="s">
        <v>123</v>
      </c>
      <c r="M13" s="49" t="s">
        <v>124</v>
      </c>
      <c r="N13" s="49" t="s">
        <v>125</v>
      </c>
      <c r="O13" s="50" t="s">
        <v>126</v>
      </c>
      <c r="P13" s="51" t="s">
        <v>127</v>
      </c>
    </row>
    <row r="14" spans="1:16" ht="12.75" customHeight="1" thickBot="1">
      <c r="A14" s="14" t="str">
        <f t="shared" si="0"/>
        <v>BAVM 172 </v>
      </c>
      <c r="B14" s="5" t="str">
        <f t="shared" si="1"/>
        <v>II</v>
      </c>
      <c r="C14" s="14">
        <f t="shared" si="2"/>
        <v>52864.447999999997</v>
      </c>
      <c r="D14" s="16" t="str">
        <f t="shared" si="3"/>
        <v>vis</v>
      </c>
      <c r="E14" s="47">
        <f>VLOOKUP(C14,Active!C$21:E$973,3,FALSE)</f>
        <v>15486.541399021922</v>
      </c>
      <c r="F14" s="5" t="s">
        <v>61</v>
      </c>
      <c r="G14" s="16" t="str">
        <f t="shared" si="4"/>
        <v>52864.4480</v>
      </c>
      <c r="H14" s="14">
        <f t="shared" si="5"/>
        <v>15486.5</v>
      </c>
      <c r="I14" s="48" t="s">
        <v>128</v>
      </c>
      <c r="J14" s="49" t="s">
        <v>129</v>
      </c>
      <c r="K14" s="48">
        <v>15486.5</v>
      </c>
      <c r="L14" s="48" t="s">
        <v>130</v>
      </c>
      <c r="M14" s="49" t="s">
        <v>108</v>
      </c>
      <c r="N14" s="49" t="s">
        <v>125</v>
      </c>
      <c r="O14" s="50" t="s">
        <v>131</v>
      </c>
      <c r="P14" s="51" t="s">
        <v>132</v>
      </c>
    </row>
    <row r="15" spans="1:16" ht="12.75" customHeight="1" thickBot="1">
      <c r="A15" s="14" t="str">
        <f t="shared" si="0"/>
        <v>BAVM 173 </v>
      </c>
      <c r="B15" s="5" t="str">
        <f t="shared" si="1"/>
        <v>I</v>
      </c>
      <c r="C15" s="14">
        <f t="shared" si="2"/>
        <v>53152.461900000002</v>
      </c>
      <c r="D15" s="16" t="str">
        <f t="shared" si="3"/>
        <v>vis</v>
      </c>
      <c r="E15" s="47">
        <f>VLOOKUP(C15,Active!C$21:E$973,3,FALSE)</f>
        <v>15720.042144850553</v>
      </c>
      <c r="F15" s="5" t="s">
        <v>61</v>
      </c>
      <c r="G15" s="16" t="str">
        <f t="shared" si="4"/>
        <v>53152.4619</v>
      </c>
      <c r="H15" s="14">
        <f t="shared" si="5"/>
        <v>15720</v>
      </c>
      <c r="I15" s="48" t="s">
        <v>133</v>
      </c>
      <c r="J15" s="49" t="s">
        <v>134</v>
      </c>
      <c r="K15" s="48">
        <v>15720</v>
      </c>
      <c r="L15" s="48" t="s">
        <v>135</v>
      </c>
      <c r="M15" s="49" t="s">
        <v>108</v>
      </c>
      <c r="N15" s="49" t="s">
        <v>125</v>
      </c>
      <c r="O15" s="50" t="s">
        <v>136</v>
      </c>
      <c r="P15" s="51" t="s">
        <v>137</v>
      </c>
    </row>
    <row r="16" spans="1:16" ht="12.75" customHeight="1" thickBot="1">
      <c r="A16" s="14" t="str">
        <f t="shared" si="0"/>
        <v>BAVM 178 </v>
      </c>
      <c r="B16" s="5" t="str">
        <f t="shared" si="1"/>
        <v>I</v>
      </c>
      <c r="C16" s="14">
        <f t="shared" si="2"/>
        <v>53601.435899999997</v>
      </c>
      <c r="D16" s="16" t="str">
        <f t="shared" si="3"/>
        <v>vis</v>
      </c>
      <c r="E16" s="47">
        <f>VLOOKUP(C16,Active!C$21:E$973,3,FALSE)</f>
        <v>16084.037645962339</v>
      </c>
      <c r="F16" s="5" t="s">
        <v>61</v>
      </c>
      <c r="G16" s="16" t="str">
        <f t="shared" si="4"/>
        <v>53601.4359</v>
      </c>
      <c r="H16" s="14">
        <f t="shared" si="5"/>
        <v>16084</v>
      </c>
      <c r="I16" s="48" t="s">
        <v>138</v>
      </c>
      <c r="J16" s="49" t="s">
        <v>139</v>
      </c>
      <c r="K16" s="48">
        <v>16084</v>
      </c>
      <c r="L16" s="48" t="s">
        <v>140</v>
      </c>
      <c r="M16" s="49" t="s">
        <v>124</v>
      </c>
      <c r="N16" s="49" t="s">
        <v>141</v>
      </c>
      <c r="O16" s="50" t="s">
        <v>131</v>
      </c>
      <c r="P16" s="51" t="s">
        <v>142</v>
      </c>
    </row>
    <row r="17" spans="1:16" ht="12.75" customHeight="1" thickBot="1">
      <c r="A17" s="14" t="str">
        <f t="shared" si="0"/>
        <v>BAVM 178 </v>
      </c>
      <c r="B17" s="5" t="str">
        <f t="shared" si="1"/>
        <v>I</v>
      </c>
      <c r="C17" s="14">
        <f t="shared" si="2"/>
        <v>53622.406300000002</v>
      </c>
      <c r="D17" s="16" t="str">
        <f t="shared" si="3"/>
        <v>vis</v>
      </c>
      <c r="E17" s="47">
        <f>VLOOKUP(C17,Active!C$21:E$973,3,FALSE)</f>
        <v>16101.038922776846</v>
      </c>
      <c r="F17" s="5" t="s">
        <v>61</v>
      </c>
      <c r="G17" s="16" t="str">
        <f t="shared" si="4"/>
        <v>53622.4063</v>
      </c>
      <c r="H17" s="14">
        <f t="shared" si="5"/>
        <v>16101</v>
      </c>
      <c r="I17" s="48" t="s">
        <v>143</v>
      </c>
      <c r="J17" s="49" t="s">
        <v>144</v>
      </c>
      <c r="K17" s="48" t="s">
        <v>145</v>
      </c>
      <c r="L17" s="48" t="s">
        <v>146</v>
      </c>
      <c r="M17" s="49" t="s">
        <v>124</v>
      </c>
      <c r="N17" s="49" t="s">
        <v>141</v>
      </c>
      <c r="O17" s="50" t="s">
        <v>131</v>
      </c>
      <c r="P17" s="51" t="s">
        <v>142</v>
      </c>
    </row>
    <row r="18" spans="1:16" ht="12.75" customHeight="1" thickBot="1">
      <c r="A18" s="14" t="str">
        <f t="shared" si="0"/>
        <v>BAVM 215 </v>
      </c>
      <c r="B18" s="5" t="str">
        <f t="shared" si="1"/>
        <v>I</v>
      </c>
      <c r="C18" s="14">
        <f t="shared" si="2"/>
        <v>55429.418899999997</v>
      </c>
      <c r="D18" s="16" t="str">
        <f t="shared" si="3"/>
        <v>vis</v>
      </c>
      <c r="E18" s="47">
        <f>VLOOKUP(C18,Active!C$21:E$973,3,FALSE)</f>
        <v>17566.033458879869</v>
      </c>
      <c r="F18" s="5" t="s">
        <v>61</v>
      </c>
      <c r="G18" s="16" t="str">
        <f t="shared" si="4"/>
        <v>55429.4189</v>
      </c>
      <c r="H18" s="14">
        <f t="shared" si="5"/>
        <v>17566</v>
      </c>
      <c r="I18" s="48" t="s">
        <v>162</v>
      </c>
      <c r="J18" s="49" t="s">
        <v>163</v>
      </c>
      <c r="K18" s="48" t="s">
        <v>164</v>
      </c>
      <c r="L18" s="48" t="s">
        <v>165</v>
      </c>
      <c r="M18" s="49" t="s">
        <v>124</v>
      </c>
      <c r="N18" s="49" t="s">
        <v>141</v>
      </c>
      <c r="O18" s="50" t="s">
        <v>131</v>
      </c>
      <c r="P18" s="51" t="s">
        <v>166</v>
      </c>
    </row>
    <row r="19" spans="1:16" ht="12.75" customHeight="1" thickBot="1">
      <c r="A19" s="14" t="str">
        <f t="shared" si="0"/>
        <v>BAVM 232 </v>
      </c>
      <c r="B19" s="5" t="str">
        <f t="shared" si="1"/>
        <v>I</v>
      </c>
      <c r="C19" s="14">
        <f t="shared" si="2"/>
        <v>56491.426800000001</v>
      </c>
      <c r="D19" s="16" t="str">
        <f t="shared" si="3"/>
        <v>vis</v>
      </c>
      <c r="E19" s="47">
        <f>VLOOKUP(C19,Active!C$21:E$973,3,FALSE)</f>
        <v>18427.032309025271</v>
      </c>
      <c r="F19" s="5" t="s">
        <v>61</v>
      </c>
      <c r="G19" s="16" t="str">
        <f t="shared" si="4"/>
        <v>56491.4268</v>
      </c>
      <c r="H19" s="14">
        <f t="shared" si="5"/>
        <v>18427</v>
      </c>
      <c r="I19" s="48" t="s">
        <v>167</v>
      </c>
      <c r="J19" s="49" t="s">
        <v>168</v>
      </c>
      <c r="K19" s="48" t="s">
        <v>169</v>
      </c>
      <c r="L19" s="48" t="s">
        <v>170</v>
      </c>
      <c r="M19" s="49" t="s">
        <v>124</v>
      </c>
      <c r="N19" s="49" t="s">
        <v>141</v>
      </c>
      <c r="O19" s="50" t="s">
        <v>131</v>
      </c>
      <c r="P19" s="51" t="s">
        <v>171</v>
      </c>
    </row>
    <row r="20" spans="1:16" ht="12.75" customHeight="1" thickBot="1">
      <c r="A20" s="14" t="str">
        <f t="shared" si="0"/>
        <v> VSS 1.308 </v>
      </c>
      <c r="B20" s="5" t="str">
        <f t="shared" si="1"/>
        <v>I</v>
      </c>
      <c r="C20" s="14">
        <f t="shared" si="2"/>
        <v>28315.5</v>
      </c>
      <c r="D20" s="16" t="str">
        <f t="shared" si="3"/>
        <v>vis</v>
      </c>
      <c r="E20" s="47">
        <f>VLOOKUP(C20,Active!C$21:E$973,3,FALSE)</f>
        <v>-4415.9621513558213</v>
      </c>
      <c r="F20" s="5" t="s">
        <v>61</v>
      </c>
      <c r="G20" s="16" t="str">
        <f t="shared" si="4"/>
        <v>28315.50</v>
      </c>
      <c r="H20" s="14">
        <f t="shared" si="5"/>
        <v>-4416</v>
      </c>
      <c r="I20" s="48" t="s">
        <v>64</v>
      </c>
      <c r="J20" s="49" t="s">
        <v>65</v>
      </c>
      <c r="K20" s="48">
        <v>-4416</v>
      </c>
      <c r="L20" s="48" t="s">
        <v>66</v>
      </c>
      <c r="M20" s="49" t="s">
        <v>67</v>
      </c>
      <c r="N20" s="49"/>
      <c r="O20" s="50" t="s">
        <v>68</v>
      </c>
      <c r="P20" s="50" t="s">
        <v>69</v>
      </c>
    </row>
    <row r="21" spans="1:16" ht="12.75" customHeight="1" thickBot="1">
      <c r="A21" s="14" t="str">
        <f t="shared" si="0"/>
        <v> VSS 1.308 </v>
      </c>
      <c r="B21" s="5" t="str">
        <f t="shared" si="1"/>
        <v>I</v>
      </c>
      <c r="C21" s="14">
        <f t="shared" si="2"/>
        <v>28664.5</v>
      </c>
      <c r="D21" s="16" t="str">
        <f t="shared" si="3"/>
        <v>vis</v>
      </c>
      <c r="E21" s="47">
        <f>VLOOKUP(C21,Active!C$21:E$973,3,FALSE)</f>
        <v>-4133.018306304627</v>
      </c>
      <c r="F21" s="5" t="s">
        <v>61</v>
      </c>
      <c r="G21" s="16" t="str">
        <f t="shared" si="4"/>
        <v>28664.50</v>
      </c>
      <c r="H21" s="14">
        <f t="shared" si="5"/>
        <v>-4133</v>
      </c>
      <c r="I21" s="48" t="s">
        <v>70</v>
      </c>
      <c r="J21" s="49" t="s">
        <v>71</v>
      </c>
      <c r="K21" s="48">
        <v>-4133</v>
      </c>
      <c r="L21" s="48" t="s">
        <v>72</v>
      </c>
      <c r="M21" s="49" t="s">
        <v>67</v>
      </c>
      <c r="N21" s="49"/>
      <c r="O21" s="50" t="s">
        <v>68</v>
      </c>
      <c r="P21" s="50" t="s">
        <v>69</v>
      </c>
    </row>
    <row r="22" spans="1:16" ht="12.75" customHeight="1" thickBot="1">
      <c r="A22" s="14" t="str">
        <f t="shared" si="0"/>
        <v> VSS 1.308 </v>
      </c>
      <c r="B22" s="5" t="str">
        <f t="shared" si="1"/>
        <v>I</v>
      </c>
      <c r="C22" s="14">
        <f t="shared" si="2"/>
        <v>29013.54</v>
      </c>
      <c r="D22" s="16" t="str">
        <f t="shared" si="3"/>
        <v>vis</v>
      </c>
      <c r="E22" s="47">
        <f>VLOOKUP(C22,Active!C$21:E$973,3,FALSE)</f>
        <v>-3850.0420321594429</v>
      </c>
      <c r="F22" s="5" t="s">
        <v>61</v>
      </c>
      <c r="G22" s="16" t="str">
        <f t="shared" si="4"/>
        <v>29013.54</v>
      </c>
      <c r="H22" s="14">
        <f t="shared" si="5"/>
        <v>-3850</v>
      </c>
      <c r="I22" s="48" t="s">
        <v>73</v>
      </c>
      <c r="J22" s="49" t="s">
        <v>74</v>
      </c>
      <c r="K22" s="48">
        <v>-3850</v>
      </c>
      <c r="L22" s="48" t="s">
        <v>75</v>
      </c>
      <c r="M22" s="49" t="s">
        <v>67</v>
      </c>
      <c r="N22" s="49"/>
      <c r="O22" s="50" t="s">
        <v>68</v>
      </c>
      <c r="P22" s="50" t="s">
        <v>69</v>
      </c>
    </row>
    <row r="23" spans="1:16" ht="12.75" customHeight="1" thickBot="1">
      <c r="A23" s="14" t="str">
        <f t="shared" si="0"/>
        <v> VSS 1.308 </v>
      </c>
      <c r="B23" s="5" t="str">
        <f t="shared" si="1"/>
        <v>I</v>
      </c>
      <c r="C23" s="14">
        <f t="shared" si="2"/>
        <v>29108.51</v>
      </c>
      <c r="D23" s="16" t="str">
        <f t="shared" si="3"/>
        <v>vis</v>
      </c>
      <c r="E23" s="47">
        <f>VLOOKUP(C23,Active!C$21:E$973,3,FALSE)</f>
        <v>-3773.0472557568319</v>
      </c>
      <c r="F23" s="5" t="s">
        <v>61</v>
      </c>
      <c r="G23" s="16" t="str">
        <f t="shared" si="4"/>
        <v>29108.51</v>
      </c>
      <c r="H23" s="14">
        <f t="shared" si="5"/>
        <v>-3773</v>
      </c>
      <c r="I23" s="48" t="s">
        <v>76</v>
      </c>
      <c r="J23" s="49" t="s">
        <v>77</v>
      </c>
      <c r="K23" s="48">
        <v>-3773</v>
      </c>
      <c r="L23" s="48" t="s">
        <v>78</v>
      </c>
      <c r="M23" s="49" t="s">
        <v>67</v>
      </c>
      <c r="N23" s="49"/>
      <c r="O23" s="50" t="s">
        <v>68</v>
      </c>
      <c r="P23" s="50" t="s">
        <v>69</v>
      </c>
    </row>
    <row r="24" spans="1:16" ht="12.75" customHeight="1" thickBot="1">
      <c r="A24" s="14" t="str">
        <f t="shared" si="0"/>
        <v> VSS 1.308 </v>
      </c>
      <c r="B24" s="5" t="str">
        <f t="shared" si="1"/>
        <v>I</v>
      </c>
      <c r="C24" s="14">
        <f t="shared" si="2"/>
        <v>29113.47</v>
      </c>
      <c r="D24" s="16" t="str">
        <f t="shared" si="3"/>
        <v>vis</v>
      </c>
      <c r="E24" s="47">
        <f>VLOOKUP(C24,Active!C$21:E$973,3,FALSE)</f>
        <v>-3769.0260481022342</v>
      </c>
      <c r="F24" s="5" t="s">
        <v>61</v>
      </c>
      <c r="G24" s="16" t="str">
        <f t="shared" si="4"/>
        <v>29113.47</v>
      </c>
      <c r="H24" s="14">
        <f t="shared" si="5"/>
        <v>-3769</v>
      </c>
      <c r="I24" s="48" t="s">
        <v>79</v>
      </c>
      <c r="J24" s="49" t="s">
        <v>80</v>
      </c>
      <c r="K24" s="48">
        <v>-3769</v>
      </c>
      <c r="L24" s="48" t="s">
        <v>81</v>
      </c>
      <c r="M24" s="49" t="s">
        <v>67</v>
      </c>
      <c r="N24" s="49"/>
      <c r="O24" s="50" t="s">
        <v>68</v>
      </c>
      <c r="P24" s="50" t="s">
        <v>69</v>
      </c>
    </row>
    <row r="25" spans="1:16" ht="12.75" customHeight="1" thickBot="1">
      <c r="A25" s="14" t="str">
        <f t="shared" si="0"/>
        <v> VSS 1.308 </v>
      </c>
      <c r="B25" s="5" t="str">
        <f t="shared" si="1"/>
        <v>I</v>
      </c>
      <c r="C25" s="14">
        <f t="shared" si="2"/>
        <v>29160.38</v>
      </c>
      <c r="D25" s="16" t="str">
        <f t="shared" si="3"/>
        <v>vis</v>
      </c>
      <c r="E25" s="47">
        <f>VLOOKUP(C25,Active!C$21:E$973,3,FALSE)</f>
        <v>-3730.9948281270149</v>
      </c>
      <c r="F25" s="5" t="s">
        <v>61</v>
      </c>
      <c r="G25" s="16" t="str">
        <f t="shared" si="4"/>
        <v>29160.38</v>
      </c>
      <c r="H25" s="14">
        <f t="shared" si="5"/>
        <v>-3731</v>
      </c>
      <c r="I25" s="48" t="s">
        <v>82</v>
      </c>
      <c r="J25" s="49" t="s">
        <v>83</v>
      </c>
      <c r="K25" s="48">
        <v>-3731</v>
      </c>
      <c r="L25" s="48" t="s">
        <v>84</v>
      </c>
      <c r="M25" s="49" t="s">
        <v>67</v>
      </c>
      <c r="N25" s="49"/>
      <c r="O25" s="50" t="s">
        <v>68</v>
      </c>
      <c r="P25" s="50" t="s">
        <v>69</v>
      </c>
    </row>
    <row r="26" spans="1:16" ht="12.75" customHeight="1" thickBot="1">
      <c r="A26" s="14" t="str">
        <f t="shared" si="0"/>
        <v> VSS 1.308 </v>
      </c>
      <c r="B26" s="5" t="str">
        <f t="shared" si="1"/>
        <v>I</v>
      </c>
      <c r="C26" s="14">
        <f t="shared" si="2"/>
        <v>29165.33</v>
      </c>
      <c r="D26" s="16" t="str">
        <f t="shared" si="3"/>
        <v>vis</v>
      </c>
      <c r="E26" s="47">
        <f>VLOOKUP(C26,Active!C$21:E$973,3,FALSE)</f>
        <v>-3726.9817277459156</v>
      </c>
      <c r="F26" s="5" t="s">
        <v>61</v>
      </c>
      <c r="G26" s="16" t="str">
        <f t="shared" si="4"/>
        <v>29165.33</v>
      </c>
      <c r="H26" s="14">
        <f t="shared" si="5"/>
        <v>-3727</v>
      </c>
      <c r="I26" s="48" t="s">
        <v>85</v>
      </c>
      <c r="J26" s="49" t="s">
        <v>86</v>
      </c>
      <c r="K26" s="48">
        <v>-3727</v>
      </c>
      <c r="L26" s="48" t="s">
        <v>87</v>
      </c>
      <c r="M26" s="49" t="s">
        <v>67</v>
      </c>
      <c r="N26" s="49"/>
      <c r="O26" s="50" t="s">
        <v>68</v>
      </c>
      <c r="P26" s="50" t="s">
        <v>69</v>
      </c>
    </row>
    <row r="27" spans="1:16" ht="12.75" customHeight="1" thickBot="1">
      <c r="A27" s="14" t="str">
        <f t="shared" si="0"/>
        <v> VSS 1.308 </v>
      </c>
      <c r="B27" s="5" t="str">
        <f t="shared" si="1"/>
        <v>I</v>
      </c>
      <c r="C27" s="14">
        <f t="shared" si="2"/>
        <v>29499.55</v>
      </c>
      <c r="D27" s="16" t="str">
        <f t="shared" si="3"/>
        <v>vis</v>
      </c>
      <c r="E27" s="47">
        <f>VLOOKUP(C27,Active!C$21:E$973,3,FALSE)</f>
        <v>-3456.0204329235389</v>
      </c>
      <c r="F27" s="5" t="s">
        <v>61</v>
      </c>
      <c r="G27" s="16" t="str">
        <f t="shared" si="4"/>
        <v>29499.55</v>
      </c>
      <c r="H27" s="14">
        <f t="shared" si="5"/>
        <v>-3456</v>
      </c>
      <c r="I27" s="48" t="s">
        <v>88</v>
      </c>
      <c r="J27" s="49" t="s">
        <v>89</v>
      </c>
      <c r="K27" s="48">
        <v>-3456</v>
      </c>
      <c r="L27" s="48" t="s">
        <v>81</v>
      </c>
      <c r="M27" s="49" t="s">
        <v>67</v>
      </c>
      <c r="N27" s="49"/>
      <c r="O27" s="50" t="s">
        <v>68</v>
      </c>
      <c r="P27" s="50" t="s">
        <v>69</v>
      </c>
    </row>
    <row r="28" spans="1:16" ht="12.75" customHeight="1" thickBot="1">
      <c r="A28" s="14" t="str">
        <f t="shared" si="0"/>
        <v> VSS 1.308 </v>
      </c>
      <c r="B28" s="5" t="str">
        <f t="shared" si="1"/>
        <v>I</v>
      </c>
      <c r="C28" s="14">
        <f t="shared" si="2"/>
        <v>29910.31</v>
      </c>
      <c r="D28" s="16" t="str">
        <f t="shared" si="3"/>
        <v>vis</v>
      </c>
      <c r="E28" s="47">
        <f>VLOOKUP(C28,Active!C$21:E$973,3,FALSE)</f>
        <v>-3123.0060667538273</v>
      </c>
      <c r="F28" s="5" t="s">
        <v>61</v>
      </c>
      <c r="G28" s="16" t="str">
        <f t="shared" si="4"/>
        <v>29910.31</v>
      </c>
      <c r="H28" s="14">
        <f t="shared" si="5"/>
        <v>-3123</v>
      </c>
      <c r="I28" s="48" t="s">
        <v>90</v>
      </c>
      <c r="J28" s="49" t="s">
        <v>91</v>
      </c>
      <c r="K28" s="48">
        <v>-3123</v>
      </c>
      <c r="L28" s="48" t="s">
        <v>92</v>
      </c>
      <c r="M28" s="49" t="s">
        <v>67</v>
      </c>
      <c r="N28" s="49"/>
      <c r="O28" s="50" t="s">
        <v>68</v>
      </c>
      <c r="P28" s="50" t="s">
        <v>69</v>
      </c>
    </row>
    <row r="29" spans="1:16" ht="12.75" customHeight="1" thickBot="1">
      <c r="A29" s="14" t="str">
        <f t="shared" si="0"/>
        <v> VSS 1.308 </v>
      </c>
      <c r="B29" s="5" t="str">
        <f t="shared" si="1"/>
        <v>I</v>
      </c>
      <c r="C29" s="14">
        <f t="shared" si="2"/>
        <v>29952.240000000002</v>
      </c>
      <c r="D29" s="16" t="str">
        <f t="shared" si="3"/>
        <v>vis</v>
      </c>
      <c r="E29" s="47">
        <f>VLOOKUP(C29,Active!C$21:E$973,3,FALSE)</f>
        <v>-3089.0122689801979</v>
      </c>
      <c r="F29" s="5" t="s">
        <v>61</v>
      </c>
      <c r="G29" s="16" t="str">
        <f t="shared" si="4"/>
        <v>29952.24</v>
      </c>
      <c r="H29" s="14">
        <f t="shared" si="5"/>
        <v>-3089</v>
      </c>
      <c r="I29" s="48" t="s">
        <v>93</v>
      </c>
      <c r="J29" s="49" t="s">
        <v>94</v>
      </c>
      <c r="K29" s="48">
        <v>-3089</v>
      </c>
      <c r="L29" s="48" t="s">
        <v>72</v>
      </c>
      <c r="M29" s="49" t="s">
        <v>67</v>
      </c>
      <c r="N29" s="49"/>
      <c r="O29" s="50" t="s">
        <v>68</v>
      </c>
      <c r="P29" s="50" t="s">
        <v>69</v>
      </c>
    </row>
    <row r="30" spans="1:16" ht="12.75" customHeight="1" thickBot="1">
      <c r="A30" s="14" t="str">
        <f t="shared" si="0"/>
        <v> VSS 1.308 </v>
      </c>
      <c r="B30" s="5" t="str">
        <f t="shared" si="1"/>
        <v>I</v>
      </c>
      <c r="C30" s="14">
        <f t="shared" si="2"/>
        <v>30999.48</v>
      </c>
      <c r="D30" s="16" t="str">
        <f t="shared" si="3"/>
        <v>vis</v>
      </c>
      <c r="E30" s="47">
        <f>VLOOKUP(C30,Active!C$21:E$973,3,FALSE)</f>
        <v>-2239.9861592626835</v>
      </c>
      <c r="F30" s="5" t="s">
        <v>61</v>
      </c>
      <c r="G30" s="16" t="str">
        <f t="shared" si="4"/>
        <v>30999.48</v>
      </c>
      <c r="H30" s="14">
        <f t="shared" si="5"/>
        <v>-2240</v>
      </c>
      <c r="I30" s="48" t="s">
        <v>95</v>
      </c>
      <c r="J30" s="49" t="s">
        <v>96</v>
      </c>
      <c r="K30" s="48">
        <v>-2240</v>
      </c>
      <c r="L30" s="48" t="s">
        <v>87</v>
      </c>
      <c r="M30" s="49" t="s">
        <v>67</v>
      </c>
      <c r="N30" s="49"/>
      <c r="O30" s="50" t="s">
        <v>68</v>
      </c>
      <c r="P30" s="50" t="s">
        <v>69</v>
      </c>
    </row>
    <row r="31" spans="1:16" ht="12.75" customHeight="1" thickBot="1">
      <c r="A31" s="14" t="str">
        <f t="shared" si="0"/>
        <v> VSS 1.308 </v>
      </c>
      <c r="B31" s="5" t="str">
        <f t="shared" si="1"/>
        <v>I</v>
      </c>
      <c r="C31" s="14">
        <f t="shared" si="2"/>
        <v>31030.3</v>
      </c>
      <c r="D31" s="16" t="str">
        <f t="shared" si="3"/>
        <v>vis</v>
      </c>
      <c r="E31" s="47">
        <f>VLOOKUP(C31,Active!C$21:E$973,3,FALSE)</f>
        <v>-2214.9995423444093</v>
      </c>
      <c r="F31" s="5" t="s">
        <v>61</v>
      </c>
      <c r="G31" s="16" t="str">
        <f t="shared" si="4"/>
        <v>31030.30</v>
      </c>
      <c r="H31" s="14">
        <f t="shared" si="5"/>
        <v>-2215</v>
      </c>
      <c r="I31" s="48" t="s">
        <v>97</v>
      </c>
      <c r="J31" s="49" t="s">
        <v>98</v>
      </c>
      <c r="K31" s="48">
        <v>-2215</v>
      </c>
      <c r="L31" s="48" t="s">
        <v>99</v>
      </c>
      <c r="M31" s="49" t="s">
        <v>67</v>
      </c>
      <c r="N31" s="49"/>
      <c r="O31" s="50" t="s">
        <v>68</v>
      </c>
      <c r="P31" s="50" t="s">
        <v>69</v>
      </c>
    </row>
    <row r="32" spans="1:16" ht="12.75" customHeight="1" thickBot="1">
      <c r="A32" s="14" t="str">
        <f t="shared" si="0"/>
        <v>BAVM 179 </v>
      </c>
      <c r="B32" s="5" t="str">
        <f t="shared" si="1"/>
        <v>I</v>
      </c>
      <c r="C32" s="14">
        <f t="shared" si="2"/>
        <v>48503.572</v>
      </c>
      <c r="D32" s="16" t="str">
        <f t="shared" si="3"/>
        <v>vis</v>
      </c>
      <c r="E32" s="47">
        <f>VLOOKUP(C32,Active!C$21:E$973,3,FALSE)</f>
        <v>11951.059957097934</v>
      </c>
      <c r="F32" s="5" t="s">
        <v>61</v>
      </c>
      <c r="G32" s="16" t="str">
        <f t="shared" si="4"/>
        <v>48503.572</v>
      </c>
      <c r="H32" s="14">
        <f t="shared" si="5"/>
        <v>11951</v>
      </c>
      <c r="I32" s="48" t="s">
        <v>100</v>
      </c>
      <c r="J32" s="49" t="s">
        <v>101</v>
      </c>
      <c r="K32" s="48">
        <v>11951</v>
      </c>
      <c r="L32" s="48" t="s">
        <v>102</v>
      </c>
      <c r="M32" s="49" t="s">
        <v>63</v>
      </c>
      <c r="N32" s="49"/>
      <c r="O32" s="50" t="s">
        <v>103</v>
      </c>
      <c r="P32" s="51" t="s">
        <v>104</v>
      </c>
    </row>
    <row r="33" spans="1:16" ht="12.75" customHeight="1" thickBot="1">
      <c r="A33" s="14" t="str">
        <f t="shared" si="0"/>
        <v> BBS 125 </v>
      </c>
      <c r="B33" s="5" t="str">
        <f t="shared" si="1"/>
        <v>I</v>
      </c>
      <c r="C33" s="14">
        <f t="shared" si="2"/>
        <v>52090.461300000003</v>
      </c>
      <c r="D33" s="16" t="str">
        <f t="shared" si="3"/>
        <v>vis</v>
      </c>
      <c r="E33" s="47">
        <f>VLOOKUP(C33,Active!C$21:E$973,3,FALSE)</f>
        <v>14859.049213014805</v>
      </c>
      <c r="F33" s="5" t="s">
        <v>61</v>
      </c>
      <c r="G33" s="16" t="str">
        <f t="shared" si="4"/>
        <v>52090.4613</v>
      </c>
      <c r="H33" s="14">
        <f t="shared" si="5"/>
        <v>14859</v>
      </c>
      <c r="I33" s="48" t="s">
        <v>117</v>
      </c>
      <c r="J33" s="49" t="s">
        <v>118</v>
      </c>
      <c r="K33" s="48">
        <v>14859</v>
      </c>
      <c r="L33" s="48" t="s">
        <v>119</v>
      </c>
      <c r="M33" s="49" t="s">
        <v>108</v>
      </c>
      <c r="N33" s="49" t="s">
        <v>109</v>
      </c>
      <c r="O33" s="50" t="s">
        <v>110</v>
      </c>
      <c r="P33" s="50" t="s">
        <v>120</v>
      </c>
    </row>
    <row r="34" spans="1:16" ht="12.75" customHeight="1" thickBot="1">
      <c r="A34" s="14" t="str">
        <f t="shared" si="0"/>
        <v>BAVM 193 </v>
      </c>
      <c r="B34" s="5" t="str">
        <f t="shared" si="1"/>
        <v>I</v>
      </c>
      <c r="C34" s="14">
        <f t="shared" si="2"/>
        <v>54357.5429</v>
      </c>
      <c r="D34" s="16" t="str">
        <f t="shared" si="3"/>
        <v>vis</v>
      </c>
      <c r="E34" s="47">
        <f>VLOOKUP(C34,Active!C$21:E$973,3,FALSE)</f>
        <v>16697.034270174732</v>
      </c>
      <c r="F34" s="5" t="s">
        <v>61</v>
      </c>
      <c r="G34" s="16" t="str">
        <f t="shared" si="4"/>
        <v>54357.5429</v>
      </c>
      <c r="H34" s="14">
        <f t="shared" si="5"/>
        <v>16697</v>
      </c>
      <c r="I34" s="48" t="s">
        <v>147</v>
      </c>
      <c r="J34" s="49" t="s">
        <v>148</v>
      </c>
      <c r="K34" s="48" t="s">
        <v>149</v>
      </c>
      <c r="L34" s="48" t="s">
        <v>150</v>
      </c>
      <c r="M34" s="49" t="s">
        <v>124</v>
      </c>
      <c r="N34" s="49" t="s">
        <v>141</v>
      </c>
      <c r="O34" s="50" t="s">
        <v>131</v>
      </c>
      <c r="P34" s="51" t="s">
        <v>151</v>
      </c>
    </row>
    <row r="35" spans="1:16" ht="12.75" customHeight="1" thickBot="1">
      <c r="A35" s="14" t="str">
        <f t="shared" si="0"/>
        <v>BAVM 212 </v>
      </c>
      <c r="B35" s="5" t="str">
        <f t="shared" si="1"/>
        <v>I</v>
      </c>
      <c r="C35" s="14">
        <f t="shared" si="2"/>
        <v>55059.386400000003</v>
      </c>
      <c r="D35" s="16" t="str">
        <f t="shared" si="3"/>
        <v>vis</v>
      </c>
      <c r="E35" s="47">
        <f>VLOOKUP(C35,Active!C$21:E$973,3,FALSE)</f>
        <v>17266.037990845758</v>
      </c>
      <c r="F35" s="5" t="s">
        <v>61</v>
      </c>
      <c r="G35" s="16" t="str">
        <f t="shared" si="4"/>
        <v>55059.3864</v>
      </c>
      <c r="H35" s="14">
        <f t="shared" si="5"/>
        <v>17266</v>
      </c>
      <c r="I35" s="48" t="s">
        <v>152</v>
      </c>
      <c r="J35" s="49" t="s">
        <v>153</v>
      </c>
      <c r="K35" s="48" t="s">
        <v>154</v>
      </c>
      <c r="L35" s="48" t="s">
        <v>155</v>
      </c>
      <c r="M35" s="49" t="s">
        <v>124</v>
      </c>
      <c r="N35" s="49" t="s">
        <v>125</v>
      </c>
      <c r="O35" s="50" t="s">
        <v>156</v>
      </c>
      <c r="P35" s="51" t="s">
        <v>157</v>
      </c>
    </row>
    <row r="36" spans="1:16" ht="12.75" customHeight="1" thickBot="1">
      <c r="A36" s="14" t="str">
        <f t="shared" si="0"/>
        <v>BAVM 212 </v>
      </c>
      <c r="B36" s="5" t="str">
        <f t="shared" si="1"/>
        <v>I</v>
      </c>
      <c r="C36" s="14">
        <f t="shared" si="2"/>
        <v>55102.552799999998</v>
      </c>
      <c r="D36" s="16" t="str">
        <f t="shared" si="3"/>
        <v>vis</v>
      </c>
      <c r="E36" s="47">
        <f>VLOOKUP(C36,Active!C$21:E$973,3,FALSE)</f>
        <v>17301.034171914573</v>
      </c>
      <c r="F36" s="5" t="s">
        <v>61</v>
      </c>
      <c r="G36" s="16" t="str">
        <f t="shared" si="4"/>
        <v>55102.5528</v>
      </c>
      <c r="H36" s="14">
        <f t="shared" si="5"/>
        <v>17301</v>
      </c>
      <c r="I36" s="48" t="s">
        <v>158</v>
      </c>
      <c r="J36" s="49" t="s">
        <v>159</v>
      </c>
      <c r="K36" s="48" t="s">
        <v>160</v>
      </c>
      <c r="L36" s="48" t="s">
        <v>161</v>
      </c>
      <c r="M36" s="49" t="s">
        <v>124</v>
      </c>
      <c r="N36" s="49" t="s">
        <v>141</v>
      </c>
      <c r="O36" s="50" t="s">
        <v>131</v>
      </c>
      <c r="P36" s="51" t="s">
        <v>157</v>
      </c>
    </row>
    <row r="37" spans="1:16">
      <c r="B37" s="5"/>
      <c r="F37" s="5"/>
    </row>
    <row r="38" spans="1:16">
      <c r="B38" s="5"/>
      <c r="F38" s="5"/>
    </row>
    <row r="39" spans="1:16">
      <c r="B39" s="5"/>
      <c r="F39" s="5"/>
    </row>
    <row r="40" spans="1:16">
      <c r="B40" s="5"/>
      <c r="F40" s="5"/>
    </row>
    <row r="41" spans="1:16">
      <c r="B41" s="5"/>
      <c r="F41" s="5"/>
    </row>
    <row r="42" spans="1:16">
      <c r="B42" s="5"/>
      <c r="F42" s="5"/>
    </row>
    <row r="43" spans="1:16">
      <c r="B43" s="5"/>
      <c r="F43" s="5"/>
    </row>
    <row r="44" spans="1:16">
      <c r="B44" s="5"/>
      <c r="F44" s="5"/>
    </row>
    <row r="45" spans="1:16">
      <c r="B45" s="5"/>
      <c r="F45" s="5"/>
    </row>
    <row r="46" spans="1:16">
      <c r="B46" s="5"/>
      <c r="F46" s="5"/>
    </row>
    <row r="47" spans="1:16">
      <c r="B47" s="5"/>
      <c r="F47" s="5"/>
    </row>
    <row r="48" spans="1:1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</sheetData>
  <phoneticPr fontId="8" type="noConversion"/>
  <hyperlinks>
    <hyperlink ref="P32" r:id="rId1" display="http://www.bav-astro.de/sfs/BAVM_link.php?BAVMnr=179"/>
    <hyperlink ref="P12" r:id="rId2" display="http://www.konkoly.hu/cgi-bin/IBVS?5287"/>
    <hyperlink ref="P13" r:id="rId3" display="http://var.astro.cz/oejv/issues/oejv0074.pdf"/>
    <hyperlink ref="P14" r:id="rId4" display="http://www.bav-astro.de/sfs/BAVM_link.php?BAVMnr=172"/>
    <hyperlink ref="P15" r:id="rId5" display="http://www.bav-astro.de/sfs/BAVM_link.php?BAVMnr=173"/>
    <hyperlink ref="P16" r:id="rId6" display="http://www.bav-astro.de/sfs/BAVM_link.php?BAVMnr=178"/>
    <hyperlink ref="P17" r:id="rId7" display="http://www.bav-astro.de/sfs/BAVM_link.php?BAVMnr=178"/>
    <hyperlink ref="P34" r:id="rId8" display="http://www.bav-astro.de/sfs/BAVM_link.php?BAVMnr=193"/>
    <hyperlink ref="P35" r:id="rId9" display="http://www.bav-astro.de/sfs/BAVM_link.php?BAVMnr=212"/>
    <hyperlink ref="P36" r:id="rId10" display="http://www.bav-astro.de/sfs/BAVM_link.php?BAVMnr=212"/>
    <hyperlink ref="P18" r:id="rId11" display="http://www.bav-astro.de/sfs/BAVM_link.php?BAVMnr=215"/>
    <hyperlink ref="P19" r:id="rId12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2024-01-31T04:08:20Z</dcterms:modified>
</cp:coreProperties>
</file>