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88C3B68-BAB9-4E73-8B7D-911F18324593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6" i="1" l="1"/>
  <c r="D9" i="1"/>
  <c r="C9" i="1"/>
  <c r="Q22" i="1"/>
  <c r="Q23" i="1"/>
  <c r="Q24" i="1"/>
  <c r="Q25" i="1"/>
  <c r="Q26" i="1"/>
  <c r="Q27" i="1"/>
  <c r="Q28" i="1"/>
  <c r="Q29" i="1"/>
  <c r="Q30" i="1"/>
  <c r="Q31" i="1"/>
  <c r="Q33" i="1"/>
  <c r="Q34" i="1"/>
  <c r="Q35" i="1"/>
  <c r="Q36" i="1"/>
  <c r="Q37" i="1"/>
  <c r="Q38" i="1"/>
  <c r="Q42" i="1"/>
  <c r="Q43" i="1"/>
  <c r="Q44" i="1"/>
  <c r="G13" i="2"/>
  <c r="C13" i="2"/>
  <c r="G32" i="2"/>
  <c r="C32" i="2"/>
  <c r="G31" i="2"/>
  <c r="C31" i="2"/>
  <c r="G30" i="2"/>
  <c r="C30" i="2"/>
  <c r="G12" i="2"/>
  <c r="C12" i="2"/>
  <c r="G11" i="2"/>
  <c r="C11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B13" i="2"/>
  <c r="D13" i="2"/>
  <c r="A13" i="2"/>
  <c r="H32" i="2"/>
  <c r="D32" i="2"/>
  <c r="B32" i="2"/>
  <c r="A32" i="2"/>
  <c r="H31" i="2"/>
  <c r="B31" i="2"/>
  <c r="D31" i="2"/>
  <c r="A31" i="2"/>
  <c r="H30" i="2"/>
  <c r="D30" i="2"/>
  <c r="B30" i="2"/>
  <c r="A30" i="2"/>
  <c r="H12" i="2"/>
  <c r="B12" i="2"/>
  <c r="D12" i="2"/>
  <c r="A12" i="2"/>
  <c r="H11" i="2"/>
  <c r="D11" i="2"/>
  <c r="B11" i="2"/>
  <c r="A11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Q45" i="1"/>
  <c r="F16" i="1"/>
  <c r="C17" i="1"/>
  <c r="Q32" i="1"/>
  <c r="Q39" i="1"/>
  <c r="Q40" i="1"/>
  <c r="Q41" i="1"/>
  <c r="Q21" i="1"/>
  <c r="C8" i="1"/>
  <c r="C7" i="1"/>
  <c r="E45" i="1"/>
  <c r="F45" i="1"/>
  <c r="E21" i="2"/>
  <c r="E13" i="2"/>
  <c r="E18" i="2"/>
  <c r="E32" i="2"/>
  <c r="E19" i="2"/>
  <c r="E30" i="2"/>
  <c r="G25" i="1"/>
  <c r="H25" i="1"/>
  <c r="G23" i="1"/>
  <c r="H23" i="1"/>
  <c r="G28" i="1"/>
  <c r="I28" i="1"/>
  <c r="G42" i="1"/>
  <c r="K42" i="1"/>
  <c r="G44" i="1"/>
  <c r="K44" i="1"/>
  <c r="E21" i="1"/>
  <c r="F21" i="1"/>
  <c r="G21" i="1"/>
  <c r="H21" i="1"/>
  <c r="E25" i="1"/>
  <c r="F25" i="1"/>
  <c r="E23" i="1"/>
  <c r="F23" i="1"/>
  <c r="E27" i="1"/>
  <c r="F27" i="1"/>
  <c r="G27" i="1"/>
  <c r="I27" i="1"/>
  <c r="E30" i="1"/>
  <c r="F30" i="1"/>
  <c r="G30" i="1"/>
  <c r="I30" i="1"/>
  <c r="E28" i="1"/>
  <c r="F28" i="1"/>
  <c r="E34" i="1"/>
  <c r="F34" i="1"/>
  <c r="G34" i="1"/>
  <c r="I34" i="1"/>
  <c r="E36" i="1"/>
  <c r="F36" i="1"/>
  <c r="G36" i="1"/>
  <c r="E38" i="1"/>
  <c r="F38" i="1"/>
  <c r="G38" i="1"/>
  <c r="I38" i="1"/>
  <c r="E42" i="1"/>
  <c r="F42" i="1"/>
  <c r="E44" i="1"/>
  <c r="F44" i="1"/>
  <c r="E41" i="1"/>
  <c r="F41" i="1"/>
  <c r="G41" i="1"/>
  <c r="J41" i="1"/>
  <c r="G46" i="1"/>
  <c r="K46" i="1"/>
  <c r="G26" i="1"/>
  <c r="H26" i="1"/>
  <c r="G29" i="1"/>
  <c r="I29" i="1"/>
  <c r="G33" i="1"/>
  <c r="I33" i="1"/>
  <c r="G39" i="1"/>
  <c r="K39" i="1"/>
  <c r="G45" i="1"/>
  <c r="J45" i="1"/>
  <c r="E46" i="1"/>
  <c r="F46" i="1"/>
  <c r="E32" i="1"/>
  <c r="F32" i="1"/>
  <c r="G32" i="1"/>
  <c r="H32" i="1"/>
  <c r="E26" i="1"/>
  <c r="F26" i="1"/>
  <c r="E24" i="1"/>
  <c r="F24" i="1"/>
  <c r="G24" i="1"/>
  <c r="H24" i="1"/>
  <c r="E22" i="1"/>
  <c r="F22" i="1"/>
  <c r="G22" i="1"/>
  <c r="H22" i="1"/>
  <c r="E31" i="1"/>
  <c r="F31" i="1"/>
  <c r="G31" i="1"/>
  <c r="I31" i="1"/>
  <c r="E29" i="1"/>
  <c r="F29" i="1"/>
  <c r="E33" i="1"/>
  <c r="F33" i="1"/>
  <c r="E35" i="1"/>
  <c r="F35" i="1"/>
  <c r="G35" i="1"/>
  <c r="I35" i="1"/>
  <c r="E37" i="1"/>
  <c r="F37" i="1"/>
  <c r="G37" i="1"/>
  <c r="I37" i="1"/>
  <c r="E39" i="1"/>
  <c r="F39" i="1"/>
  <c r="E43" i="1"/>
  <c r="F43" i="1"/>
  <c r="G43" i="1"/>
  <c r="K43" i="1"/>
  <c r="E40" i="1"/>
  <c r="F40" i="1"/>
  <c r="G40" i="1"/>
  <c r="J40" i="1"/>
  <c r="I36" i="1"/>
  <c r="E14" i="2"/>
  <c r="E24" i="2"/>
  <c r="E12" i="2"/>
  <c r="E31" i="2"/>
  <c r="E11" i="2"/>
  <c r="E29" i="2"/>
  <c r="E26" i="2"/>
  <c r="E17" i="2"/>
  <c r="E23" i="2"/>
  <c r="E28" i="2"/>
  <c r="E25" i="2"/>
  <c r="E22" i="2"/>
  <c r="E16" i="2"/>
  <c r="E20" i="2"/>
  <c r="E15" i="2"/>
  <c r="E27" i="2"/>
  <c r="C11" i="1"/>
  <c r="C12" i="1"/>
  <c r="C16" i="1" l="1"/>
  <c r="D18" i="1" s="1"/>
  <c r="O39" i="1"/>
  <c r="O38" i="1"/>
  <c r="O40" i="1"/>
  <c r="O45" i="1"/>
  <c r="O21" i="1"/>
  <c r="O41" i="1"/>
  <c r="O43" i="1"/>
  <c r="O46" i="1"/>
  <c r="O42" i="1"/>
  <c r="O44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<sst xmlns="http://schemas.openxmlformats.org/spreadsheetml/2006/main" count="286" uniqueCount="137">
  <si>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</si>
  <si>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</si>
  <si>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</si>
  <si>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</si>
  <si>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</si>
  <si>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</si>
  <si>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</si>
  <si>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</si>
  <si>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</si>
  <si>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</si>
  <si>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</si>
  <si>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</si>
  <si>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</si>
  <si>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</si>
  <si>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</si>
  <si>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</si>
  <si>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</si>
  <si>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</si>
  <si>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</si>
  <si>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</si>
  <si>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</si>
  <si>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</si>
  <si>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</si>
  <si>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</si>
  <si>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</si>
  <si>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</si>
  <si>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</si>
  <si>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</si>
  <si>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</si>
  <si>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</si>
  <si>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</si>
  <si>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</si>
  <si>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</si>
  <si>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</si>
  <si>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</si>
  <si>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</si>
  <si>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V0536 Cyg / GSC 3598-1340</t>
  </si>
  <si>
    <t xml:space="preserve">EA/SD     </t>
  </si>
  <si>
    <t>IBVS 5931</t>
  </si>
  <si>
    <t>I</t>
  </si>
  <si>
    <t>Kreiner</t>
  </si>
  <si>
    <t/>
  </si>
  <si>
    <t>Add cycle</t>
  </si>
  <si>
    <t>Old Cycle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</si>
  <si>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</si>
  <si>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</si>
  <si>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</si>
  <si>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</si>
  <si>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</si>
  <si>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</si>
  <si>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</si>
  <si>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</si>
  <si>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</si>
  <si>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</si>
  <si>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</si>
  <si>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</si>
  <si>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</si>
  <si>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2428759.45 </t>
  </si>
  <si>
    <t> 13.08.1937 22:48 </t>
  </si>
  <si>
    <t> 0.04 </t>
  </si>
  <si>
    <t> N.B.Perova </t>
  </si>
  <si>
    <t> PZ 7.258 </t>
  </si>
  <si>
    <t>2432774.22 </t>
  </si>
  <si>
    <t> 10.08.1948 17:16 </t>
  </si>
  <si>
    <t> -0.00 </t>
  </si>
  <si>
    <t>2432798.26 </t>
  </si>
  <si>
    <t> 03.09.1948 18:14 </t>
  </si>
  <si>
    <t> -0.01 </t>
  </si>
  <si>
    <t>2432822.30 </t>
  </si>
  <si>
    <t> 27.09.1948 19:12 </t>
  </si>
  <si>
    <t>2432834.30 </t>
  </si>
  <si>
    <t> 09.10.1948 19:12 </t>
  </si>
  <si>
    <t> -0.03 </t>
  </si>
  <si>
    <t>2437492.23 </t>
  </si>
  <si>
    <t> 11.07.1961 17:31 </t>
  </si>
  <si>
    <t> P.Ahnert </t>
  </si>
  <si>
    <t> MVS 710 </t>
  </si>
  <si>
    <t>2437546.29 </t>
  </si>
  <si>
    <t> 03.09.1961 18:57 </t>
  </si>
  <si>
    <t>P </t>
  </si>
  <si>
    <t>2437558.36 </t>
  </si>
  <si>
    <t> 15.09.1961 20:38 </t>
  </si>
  <si>
    <t> 0.02 </t>
  </si>
  <si>
    <t>2437570.38 </t>
  </si>
  <si>
    <t> 27.09.1961 21:07 </t>
  </si>
  <si>
    <t>2437576.37 </t>
  </si>
  <si>
    <t> 03.10.1961 20:52 </t>
  </si>
  <si>
    <t>2437582.36 </t>
  </si>
  <si>
    <t> 09.10.1961 20:38 </t>
  </si>
  <si>
    <t> -0.02 </t>
  </si>
  <si>
    <t>2437636.48 </t>
  </si>
  <si>
    <t> 02.12.1961 23:31 </t>
  </si>
  <si>
    <t> 0.00 </t>
  </si>
  <si>
    <t>2437642.47 </t>
  </si>
  <si>
    <t> 08.12.1961 23:16 </t>
  </si>
  <si>
    <t>2451039.434 </t>
  </si>
  <si>
    <t> 13.08.1998 22:24 </t>
  </si>
  <si>
    <t> 0.212 </t>
  </si>
  <si>
    <t>V </t>
  </si>
  <si>
    <t> J.Verrot </t>
  </si>
  <si>
    <t> BBS 119 </t>
  </si>
  <si>
    <t>2451045.460 </t>
  </si>
  <si>
    <t> 19.08.1998 23:02 </t>
  </si>
  <si>
    <t> 0.228 </t>
  </si>
  <si>
    <t>2451051.481 </t>
  </si>
  <si>
    <t> 25.08.1998 23:32 </t>
  </si>
  <si>
    <t> 0.239 </t>
  </si>
  <si>
    <t>2454098.7977 </t>
  </si>
  <si>
    <t> 29.12.2006 07:08 </t>
  </si>
  <si>
    <t> 0.3839 </t>
  </si>
  <si>
    <t>C </t>
  </si>
  <si>
    <t> P.Zasche (ESA INTEGRAL) </t>
  </si>
  <si>
    <t>IBVS 5931 </t>
  </si>
  <si>
    <t>2454261.0784 </t>
  </si>
  <si>
    <t> 09.06.2007 13:52 </t>
  </si>
  <si>
    <t> 0.3892 </t>
  </si>
  <si>
    <t>2455084.5057 </t>
  </si>
  <si>
    <t> 10.09.2009 00:08 </t>
  </si>
  <si>
    <t> 0.4191 </t>
  </si>
  <si>
    <t>o</t>
  </si>
  <si>
    <t> U.Schmidt </t>
  </si>
  <si>
    <t>BAVM 212 </t>
  </si>
  <si>
    <t>2455102.5335 </t>
  </si>
  <si>
    <t> 28.09.2009 00:48 </t>
  </si>
  <si>
    <t> 0.4163 </t>
  </si>
  <si>
    <t>-I</t>
  </si>
  <si>
    <t> F.Agerer </t>
  </si>
  <si>
    <t>2455108.5449 </t>
  </si>
  <si>
    <t> 04.10.2009 01:04 </t>
  </si>
  <si>
    <t>2917</t>
  </si>
  <si>
    <t> 0.4175 </t>
  </si>
  <si>
    <t>2455691.5511 </t>
  </si>
  <si>
    <t> 10.05.2011 01:13 </t>
  </si>
  <si>
    <t>3014</t>
  </si>
  <si>
    <t> 0.4343 </t>
  </si>
  <si>
    <t>BAVM 220 </t>
  </si>
  <si>
    <t>IBVS 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</si>
</sst>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 Unicode MS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5" xfId="0" applyBorder="1">
      <alignment vertical="top"/>
    </xf>
    <xf numFmtId="0" fontId="1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V0536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3.9999999717110768E-4</c:v>
                </c:pt>
                <c:pt idx="1">
                  <c:v>3.9399999997840496E-2</c:v>
                </c:pt>
                <c:pt idx="2">
                  <c:v>-4.2000000030384399E-3</c:v>
                </c:pt>
                <c:pt idx="3">
                  <c:v>-4.9999999973806553E-3</c:v>
                </c:pt>
                <c:pt idx="4">
                  <c:v>-5.7999999989988282E-3</c:v>
                </c:pt>
                <c:pt idx="5">
                  <c:v>-2.6200000000244472E-2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C-474C-9B8E-F906E959616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-1.1999999987892807E-3</c:v>
                </c:pt>
                <c:pt idx="7">
                  <c:v>-3.3000000003085006E-2</c:v>
                </c:pt>
                <c:pt idx="8">
                  <c:v>1.6599999995378312E-2</c:v>
                </c:pt>
                <c:pt idx="9">
                  <c:v>1.6199999990931246E-2</c:v>
                </c:pt>
                <c:pt idx="10">
                  <c:v>-4.0000000008149073E-3</c:v>
                </c:pt>
                <c:pt idx="12">
                  <c:v>-2.4199999999837019E-2</c:v>
                </c:pt>
                <c:pt idx="13">
                  <c:v>4.0000000008149073E-3</c:v>
                </c:pt>
                <c:pt idx="14">
                  <c:v>-1.6200000005483162E-2</c:v>
                </c:pt>
                <c:pt idx="15">
                  <c:v>0.21199999999953434</c:v>
                </c:pt>
                <c:pt idx="16">
                  <c:v>0.22779999999329448</c:v>
                </c:pt>
                <c:pt idx="17">
                  <c:v>0.23859999999694992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3C-474C-9B8E-F906E959616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19">
                  <c:v>0.38389999999344582</c:v>
                </c:pt>
                <c:pt idx="20">
                  <c:v>0.38919999999052379</c:v>
                </c:pt>
                <c:pt idx="24">
                  <c:v>0.43429999999352731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3C-474C-9B8E-F906E959616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8">
                  <c:v>0.30069999999977881</c:v>
                </c:pt>
                <c:pt idx="21">
                  <c:v>0.41909999999916181</c:v>
                </c:pt>
                <c:pt idx="22">
                  <c:v>0.41629999998986023</c:v>
                </c:pt>
                <c:pt idx="23">
                  <c:v>0.41749999999592546</c:v>
                </c:pt>
                <c:pt idx="25">
                  <c:v>0.48389999999199063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3C-474C-9B8E-F906E959616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3C-474C-9B8E-F906E959616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3C-474C-9B8E-F906E959616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1.2999999999999999E-3</c:v>
                  </c:pt>
                  <c:pt idx="20">
                    <c:v>1.6000000000000001E-3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6.9999999999999999E-4</c:v>
                  </c:pt>
                  <c:pt idx="25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3C-474C-9B8E-F906E959616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-1467</c:v>
                </c:pt>
                <c:pt idx="1">
                  <c:v>-1467</c:v>
                </c:pt>
                <c:pt idx="2">
                  <c:v>-799</c:v>
                </c:pt>
                <c:pt idx="3">
                  <c:v>-795</c:v>
                </c:pt>
                <c:pt idx="4">
                  <c:v>-791</c:v>
                </c:pt>
                <c:pt idx="5">
                  <c:v>-789</c:v>
                </c:pt>
                <c:pt idx="6">
                  <c:v>-14</c:v>
                </c:pt>
                <c:pt idx="7">
                  <c:v>-5</c:v>
                </c:pt>
                <c:pt idx="8">
                  <c:v>-3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10</c:v>
                </c:pt>
                <c:pt idx="14">
                  <c:v>11</c:v>
                </c:pt>
                <c:pt idx="15">
                  <c:v>2240</c:v>
                </c:pt>
                <c:pt idx="16">
                  <c:v>2241</c:v>
                </c:pt>
                <c:pt idx="17">
                  <c:v>2242</c:v>
                </c:pt>
                <c:pt idx="18">
                  <c:v>2483</c:v>
                </c:pt>
                <c:pt idx="19">
                  <c:v>2749</c:v>
                </c:pt>
                <c:pt idx="20">
                  <c:v>2776</c:v>
                </c:pt>
                <c:pt idx="21">
                  <c:v>2913</c:v>
                </c:pt>
                <c:pt idx="22">
                  <c:v>2916</c:v>
                </c:pt>
                <c:pt idx="23">
                  <c:v>2917</c:v>
                </c:pt>
                <c:pt idx="24">
                  <c:v>3014</c:v>
                </c:pt>
                <c:pt idx="25">
                  <c:v>3281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-0.74583054223458167</c:v>
                </c:pt>
                <c:pt idx="17">
                  <c:v>0.23394815023140464</c:v>
                </c:pt>
                <c:pt idx="18">
                  <c:v>0.29761131142965286</c:v>
                </c:pt>
                <c:pt idx="19">
                  <c:v>0.36787853499286455</c:v>
                </c:pt>
                <c:pt idx="20">
                  <c:v>0.37501092234702521</c:v>
                </c:pt>
                <c:pt idx="21">
                  <c:v>0.41120118410702516</c:v>
                </c:pt>
                <c:pt idx="22">
                  <c:v>0.41199367159082084</c:v>
                </c:pt>
                <c:pt idx="23">
                  <c:v>0.41225783408541933</c:v>
                </c:pt>
                <c:pt idx="24">
                  <c:v>0.43788159606147775</c:v>
                </c:pt>
                <c:pt idx="25">
                  <c:v>0.50841298211928798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3C-474C-9B8E-F906E9596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79168"/>
        <c:axId val="1"/>
      </c:scatterChart>
      <c:valAx>
        <c:axId val="90787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787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4C2FA5-2D13-E7FF-2426-DD5B6B2B3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5931" TargetMode="External"/><Relationship Id="rId1" Type="http://schemas.openxmlformats.org/officeDocument/2006/relationships/hyperlink" Target="http://www.konkoly.hu/cgi-bin/IBVS?5931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5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0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>
      <c r="A2" t="s">
        <v>25</v>
      </c>
      <c r="B2" s="28" t="s">
        <v>37</v>
      </c>
      <c r="C2" s="3"/>
      <c r="D2" s="3"/>
    </row>
    <row r="3" spans="1:6" ht="13.5" thickBot="1"/>
    <row r="4" spans="1:6" ht="14.25" thickTop="1" thickBot="1">
      <c r="A4" s="5" t="s">
        <v>1</v>
      </c>
      <c r="C4" s="8">
        <v>37576.374000000003</v>
      </c>
      <c r="D4" s="9">
        <v>6.0102000000000002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2</v>
      </c>
    </row>
    <row r="7" spans="1:6">
      <c r="A7" t="s">
        <v>3</v>
      </c>
      <c r="C7">
        <f>+C4</f>
        <v>37576.374000000003</v>
      </c>
    </row>
    <row r="8" spans="1:6">
      <c r="A8" t="s">
        <v>4</v>
      </c>
      <c r="C8">
        <f>+D4</f>
        <v>6.0102000000000002</v>
      </c>
    </row>
    <row r="9" spans="1:6">
      <c r="A9" s="26" t="s">
        <v>35</v>
      </c>
      <c r="B9" s="27">
        <v>36</v>
      </c>
      <c r="C9" s="24" t="str">
        <f>"F"&amp;B9</f>
        <v>F36</v>
      </c>
      <c r="D9" s="25" t="str">
        <f>"G"&amp;B9</f>
        <v>G36</v>
      </c>
    </row>
    <row r="10" spans="1:6" ht="13.5" thickBot="1">
      <c r="A10" s="12"/>
      <c r="B10" s="12"/>
      <c r="C10" s="4" t="s">
        <v>21</v>
      </c>
      <c r="D10" s="4" t="s">
        <v>22</v>
      </c>
      <c r="E10" s="12"/>
    </row>
    <row r="11" spans="1:6">
      <c r="A11" s="12" t="s">
        <v>17</v>
      </c>
      <c r="B11" s="12"/>
      <c r="C11" s="23">
        <f ca="1">INTERCEPT(INDIRECT($D$9):G992,INDIRECT($C$9):F992)</f>
        <v>-0.35830416265852288</v>
      </c>
      <c r="D11" s="3"/>
      <c r="E11" s="12"/>
    </row>
    <row r="12" spans="1:6">
      <c r="A12" s="12" t="s">
        <v>18</v>
      </c>
      <c r="B12" s="12"/>
      <c r="C12" s="23">
        <f ca="1">SLOPE(INDIRECT($D$9):G992,INDIRECT($C$9):F992)</f>
        <v>2.6416249459854037E-4</v>
      </c>
      <c r="D12" s="3"/>
      <c r="E12" s="12"/>
    </row>
    <row r="13" spans="1:6">
      <c r="A13" s="12" t="s">
        <v>20</v>
      </c>
      <c r="B13" s="12"/>
      <c r="C13" s="3" t="s">
        <v>15</v>
      </c>
    </row>
    <row r="14" spans="1:6">
      <c r="A14" s="12"/>
      <c r="B14" s="12"/>
      <c r="C14" s="12"/>
    </row>
    <row r="15" spans="1:6">
      <c r="A15" s="14" t="s">
        <v>19</v>
      </c>
      <c r="B15" s="12"/>
      <c r="C15" s="15">
        <f ca="1">(C7+C11)+(C8+C12)*INT(MAX(F21:F3533))</f>
        <v>57296.348612982125</v>
      </c>
      <c r="E15" s="16" t="s">
        <v>42</v>
      </c>
      <c r="F15" s="13">
        <v>1</v>
      </c>
    </row>
    <row r="16" spans="1:6">
      <c r="A16" s="18" t="s">
        <v>5</v>
      </c>
      <c r="B16" s="12"/>
      <c r="C16" s="19">
        <f ca="1">+C8+C12</f>
        <v>6.0104641624945989</v>
      </c>
      <c r="E16" s="16" t="s">
        <v>32</v>
      </c>
      <c r="F16" s="17">
        <f ca="1">NOW()+15018.5+$C$5/24</f>
        <v>60340.716623495369</v>
      </c>
    </row>
    <row r="17" spans="1:18" ht="13.5" thickBot="1">
      <c r="A17" s="16" t="s">
        <v>29</v>
      </c>
      <c r="B17" s="12"/>
      <c r="C17" s="12">
        <f>COUNT(C21:C2191)</f>
        <v>26</v>
      </c>
      <c r="E17" s="16" t="s">
        <v>43</v>
      </c>
      <c r="F17" s="17">
        <f ca="1">ROUND(2*(F16-$C$7)/$C$8,0)/2+F15</f>
        <v>3788.5</v>
      </c>
    </row>
    <row r="18" spans="1:18" ht="14.25" thickTop="1" thickBot="1">
      <c r="A18" s="18" t="s">
        <v>6</v>
      </c>
      <c r="B18" s="12"/>
      <c r="C18" s="21">
        <f ca="1">+C15</f>
        <v>57296.348612982125</v>
      </c>
      <c r="D18" s="22">
        <f ca="1">+C16</f>
        <v>6.0104641624945989</v>
      </c>
      <c r="E18" s="16" t="s">
        <v>33</v>
      </c>
      <c r="F18" s="25">
        <f ca="1">ROUND(2*(F16-$C$15)/$C$16,0)/2+F15</f>
        <v>507.5</v>
      </c>
    </row>
    <row r="19" spans="1:18" ht="13.5" thickTop="1">
      <c r="E19" s="16" t="s">
        <v>34</v>
      </c>
      <c r="F19" s="20">
        <f ca="1">+$C$15+$C$16*F18-15018.5-$C$5/24</f>
        <v>45328.55500878147</v>
      </c>
    </row>
    <row r="20" spans="1:18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50" t="s">
        <v>12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8">
      <c r="A21" t="s">
        <v>136</v>
      </c>
      <c r="C21" s="29">
        <v>28759.411</v>
      </c>
      <c r="D21" s="10"/>
      <c r="E21">
        <f t="shared" ref="E21:E45" si="0">+(C21-C$7)/C$8</f>
        <v>-1466.9999334464749</v>
      </c>
      <c r="F21">
        <f t="shared" ref="F21:F46" si="1">ROUND(2*E21,0)/2</f>
        <v>-1467</v>
      </c>
      <c r="G21" s="10">
        <f t="shared" ref="G21:G45" si="2">+C21-(C$7+F21*C$8)</f>
        <v>3.9999999717110768E-4</v>
      </c>
      <c r="H21">
        <f t="shared" ref="H21:H26" si="3">G21</f>
        <v>3.9999999717110768E-4</v>
      </c>
      <c r="O21">
        <f ca="1">+C$11+C$12*$F21</f>
        <v>-0.74583054223458167</v>
      </c>
      <c r="Q21" s="2">
        <f t="shared" ref="Q21:Q45" si="4">+C21-15018.5</f>
        <v>13740.911</v>
      </c>
    </row>
    <row r="22" spans="1:18">
      <c r="A22" s="46" t="s">
        <v>61</v>
      </c>
      <c r="B22" s="48" t="s">
        <v>39</v>
      </c>
      <c r="C22" s="47">
        <v>28759.45</v>
      </c>
      <c r="D22" s="47" t="s">
        <v>55</v>
      </c>
      <c r="E22">
        <f t="shared" si="0"/>
        <v>-1466.9934444777216</v>
      </c>
      <c r="F22">
        <f t="shared" si="1"/>
        <v>-1467</v>
      </c>
      <c r="G22" s="10">
        <f t="shared" si="2"/>
        <v>3.9399999997840496E-2</v>
      </c>
      <c r="H22">
        <f t="shared" si="3"/>
        <v>3.9399999997840496E-2</v>
      </c>
      <c r="Q22" s="2">
        <f t="shared" si="4"/>
        <v>13740.95</v>
      </c>
    </row>
    <row r="23" spans="1:18">
      <c r="A23" s="46" t="s">
        <v>61</v>
      </c>
      <c r="B23" s="48" t="s">
        <v>39</v>
      </c>
      <c r="C23" s="47">
        <v>32774.22</v>
      </c>
      <c r="D23" s="47" t="s">
        <v>55</v>
      </c>
      <c r="E23">
        <f t="shared" si="0"/>
        <v>-799.00069881201989</v>
      </c>
      <c r="F23">
        <f t="shared" si="1"/>
        <v>-799</v>
      </c>
      <c r="G23" s="10">
        <f t="shared" si="2"/>
        <v>-4.2000000030384399E-3</v>
      </c>
      <c r="H23">
        <f t="shared" si="3"/>
        <v>-4.2000000030384399E-3</v>
      </c>
      <c r="Q23" s="2">
        <f t="shared" si="4"/>
        <v>17755.72</v>
      </c>
    </row>
    <row r="24" spans="1:18">
      <c r="A24" s="46" t="s">
        <v>61</v>
      </c>
      <c r="B24" s="48" t="s">
        <v>39</v>
      </c>
      <c r="C24" s="47">
        <v>32798.26</v>
      </c>
      <c r="D24" s="47" t="s">
        <v>55</v>
      </c>
      <c r="E24">
        <f t="shared" si="0"/>
        <v>-795.00083191907106</v>
      </c>
      <c r="F24">
        <f t="shared" si="1"/>
        <v>-795</v>
      </c>
      <c r="G24" s="10">
        <f t="shared" si="2"/>
        <v>-4.9999999973806553E-3</v>
      </c>
      <c r="H24">
        <f t="shared" si="3"/>
        <v>-4.9999999973806553E-3</v>
      </c>
      <c r="Q24" s="2">
        <f t="shared" si="4"/>
        <v>17779.760000000002</v>
      </c>
    </row>
    <row r="25" spans="1:18">
      <c r="A25" s="46" t="s">
        <v>61</v>
      </c>
      <c r="B25" s="48" t="s">
        <v>39</v>
      </c>
      <c r="C25" s="49">
        <v>32822.300000000003</v>
      </c>
      <c r="D25" s="47" t="s">
        <v>55</v>
      </c>
      <c r="E25">
        <f t="shared" si="0"/>
        <v>-791.00096502612234</v>
      </c>
      <c r="F25">
        <f t="shared" si="1"/>
        <v>-791</v>
      </c>
      <c r="G25" s="10">
        <f t="shared" si="2"/>
        <v>-5.7999999989988282E-3</v>
      </c>
      <c r="H25">
        <f t="shared" si="3"/>
        <v>-5.7999999989988282E-3</v>
      </c>
      <c r="Q25" s="2">
        <f t="shared" si="4"/>
        <v>17803.800000000003</v>
      </c>
    </row>
    <row r="26" spans="1:18">
      <c r="A26" s="46" t="s">
        <v>61</v>
      </c>
      <c r="B26" s="48" t="s">
        <v>39</v>
      </c>
      <c r="C26" s="47">
        <v>32834.300000000003</v>
      </c>
      <c r="D26" s="47" t="s">
        <v>55</v>
      </c>
      <c r="E26">
        <f t="shared" si="0"/>
        <v>-789.0043592559316</v>
      </c>
      <c r="F26">
        <f t="shared" si="1"/>
        <v>-789</v>
      </c>
      <c r="G26" s="10">
        <f t="shared" si="2"/>
        <v>-2.6200000000244472E-2</v>
      </c>
      <c r="H26">
        <f t="shared" si="3"/>
        <v>-2.6200000000244472E-2</v>
      </c>
      <c r="Q26" s="2">
        <f t="shared" si="4"/>
        <v>17815.800000000003</v>
      </c>
    </row>
    <row r="27" spans="1:18" ht="12.75" customHeight="1">
      <c r="A27" s="46" t="s">
        <v>76</v>
      </c>
      <c r="B27" s="48" t="s">
        <v>39</v>
      </c>
      <c r="C27" s="47">
        <v>37492.230000000003</v>
      </c>
      <c r="D27" s="47" t="s">
        <v>55</v>
      </c>
      <c r="E27">
        <f t="shared" si="0"/>
        <v>-14.000199660577056</v>
      </c>
      <c r="F27">
        <f t="shared" si="1"/>
        <v>-14</v>
      </c>
      <c r="G27" s="10">
        <f t="shared" si="2"/>
        <v>-1.1999999987892807E-3</v>
      </c>
      <c r="I27">
        <f>G27</f>
        <v>-1.1999999987892807E-3</v>
      </c>
      <c r="Q27" s="2">
        <f t="shared" si="4"/>
        <v>22473.730000000003</v>
      </c>
      <c r="R27" t="s">
        <v>41</v>
      </c>
    </row>
    <row r="28" spans="1:18" ht="12.75" customHeight="1">
      <c r="A28" s="46" t="s">
        <v>76</v>
      </c>
      <c r="B28" s="48" t="s">
        <v>39</v>
      </c>
      <c r="C28" s="47">
        <v>37546.29</v>
      </c>
      <c r="D28" s="47" t="s">
        <v>55</v>
      </c>
      <c r="E28">
        <f t="shared" si="0"/>
        <v>-5.0054906658684502</v>
      </c>
      <c r="F28">
        <f t="shared" si="1"/>
        <v>-5</v>
      </c>
      <c r="G28" s="10">
        <f t="shared" si="2"/>
        <v>-3.3000000003085006E-2</v>
      </c>
      <c r="I28">
        <f t="shared" ref="I28:I38" si="5">G28</f>
        <v>-3.3000000003085006E-2</v>
      </c>
      <c r="Q28" s="2">
        <f t="shared" si="4"/>
        <v>22527.79</v>
      </c>
    </row>
    <row r="29" spans="1:18">
      <c r="A29" s="46" t="s">
        <v>76</v>
      </c>
      <c r="B29" s="48" t="s">
        <v>39</v>
      </c>
      <c r="C29" s="47">
        <v>37558.36</v>
      </c>
      <c r="D29" s="47" t="s">
        <v>55</v>
      </c>
      <c r="E29">
        <f t="shared" si="0"/>
        <v>-2.997238028685044</v>
      </c>
      <c r="F29">
        <f t="shared" si="1"/>
        <v>-3</v>
      </c>
      <c r="G29" s="10">
        <f t="shared" si="2"/>
        <v>1.6599999995378312E-2</v>
      </c>
      <c r="I29">
        <f t="shared" si="5"/>
        <v>1.6599999995378312E-2</v>
      </c>
      <c r="Q29" s="2">
        <f t="shared" si="4"/>
        <v>22539.86</v>
      </c>
    </row>
    <row r="30" spans="1:18">
      <c r="A30" s="46" t="s">
        <v>76</v>
      </c>
      <c r="B30" s="48" t="s">
        <v>39</v>
      </c>
      <c r="C30" s="47">
        <v>37570.379999999997</v>
      </c>
      <c r="D30" s="47" t="s">
        <v>55</v>
      </c>
      <c r="E30">
        <f t="shared" si="0"/>
        <v>-0.99730458221124973</v>
      </c>
      <c r="F30">
        <f t="shared" si="1"/>
        <v>-1</v>
      </c>
      <c r="G30" s="10">
        <f t="shared" si="2"/>
        <v>1.6199999990931246E-2</v>
      </c>
      <c r="I30">
        <f t="shared" si="5"/>
        <v>1.6199999990931246E-2</v>
      </c>
      <c r="Q30" s="2">
        <f t="shared" si="4"/>
        <v>22551.879999999997</v>
      </c>
    </row>
    <row r="31" spans="1:18">
      <c r="A31" s="46" t="s">
        <v>76</v>
      </c>
      <c r="B31" s="48" t="s">
        <v>39</v>
      </c>
      <c r="C31" s="47">
        <v>37576.370000000003</v>
      </c>
      <c r="D31" s="47" t="s">
        <v>55</v>
      </c>
      <c r="E31">
        <f t="shared" si="0"/>
        <v>-6.6553525686581267E-4</v>
      </c>
      <c r="F31">
        <f t="shared" si="1"/>
        <v>0</v>
      </c>
      <c r="G31" s="10">
        <f t="shared" si="2"/>
        <v>-4.0000000008149073E-3</v>
      </c>
      <c r="I31">
        <f t="shared" si="5"/>
        <v>-4.0000000008149073E-3</v>
      </c>
      <c r="Q31" s="2">
        <f t="shared" si="4"/>
        <v>22557.870000000003</v>
      </c>
    </row>
    <row r="32" spans="1:18">
      <c r="A32" t="s">
        <v>13</v>
      </c>
      <c r="C32" s="10">
        <v>37576.374000000003</v>
      </c>
      <c r="D32" s="10" t="s">
        <v>15</v>
      </c>
      <c r="E32">
        <f t="shared" si="0"/>
        <v>0</v>
      </c>
      <c r="F32">
        <f t="shared" si="1"/>
        <v>0</v>
      </c>
      <c r="G32" s="10">
        <f t="shared" si="2"/>
        <v>0</v>
      </c>
      <c r="H32">
        <f>+G32</f>
        <v>0</v>
      </c>
      <c r="Q32" s="2">
        <f t="shared" si="4"/>
        <v>22557.874000000003</v>
      </c>
    </row>
    <row r="33" spans="1:17">
      <c r="A33" s="46" t="s">
        <v>76</v>
      </c>
      <c r="B33" s="48" t="s">
        <v>39</v>
      </c>
      <c r="C33" s="47">
        <v>37582.36</v>
      </c>
      <c r="D33" s="47" t="s">
        <v>55</v>
      </c>
      <c r="E33">
        <f t="shared" si="0"/>
        <v>0.99597351169630755</v>
      </c>
      <c r="F33">
        <f t="shared" si="1"/>
        <v>1</v>
      </c>
      <c r="G33" s="10">
        <f t="shared" si="2"/>
        <v>-2.4199999999837019E-2</v>
      </c>
      <c r="I33">
        <f t="shared" si="5"/>
        <v>-2.4199999999837019E-2</v>
      </c>
      <c r="Q33" s="2">
        <f t="shared" si="4"/>
        <v>22563.86</v>
      </c>
    </row>
    <row r="34" spans="1:17">
      <c r="A34" s="46" t="s">
        <v>76</v>
      </c>
      <c r="B34" s="48" t="s">
        <v>39</v>
      </c>
      <c r="C34" s="47">
        <v>37636.480000000003</v>
      </c>
      <c r="D34" s="47" t="s">
        <v>55</v>
      </c>
      <c r="E34">
        <f t="shared" si="0"/>
        <v>10.000665535256692</v>
      </c>
      <c r="F34">
        <f t="shared" si="1"/>
        <v>10</v>
      </c>
      <c r="G34" s="10">
        <f t="shared" si="2"/>
        <v>4.0000000008149073E-3</v>
      </c>
      <c r="I34">
        <f t="shared" si="5"/>
        <v>4.0000000008149073E-3</v>
      </c>
      <c r="Q34" s="2">
        <f t="shared" si="4"/>
        <v>22617.980000000003</v>
      </c>
    </row>
    <row r="35" spans="1:17">
      <c r="A35" s="46" t="s">
        <v>76</v>
      </c>
      <c r="B35" s="48" t="s">
        <v>39</v>
      </c>
      <c r="C35" s="47">
        <v>37642.47</v>
      </c>
      <c r="D35" s="47" t="s">
        <v>55</v>
      </c>
      <c r="E35">
        <f t="shared" si="0"/>
        <v>10.997304582209864</v>
      </c>
      <c r="F35">
        <f t="shared" si="1"/>
        <v>11</v>
      </c>
      <c r="G35" s="10">
        <f t="shared" si="2"/>
        <v>-1.6200000005483162E-2</v>
      </c>
      <c r="I35">
        <f t="shared" si="5"/>
        <v>-1.6200000005483162E-2</v>
      </c>
      <c r="Q35" s="2">
        <f t="shared" si="4"/>
        <v>22623.97</v>
      </c>
    </row>
    <row r="36" spans="1:17" ht="12.75" customHeight="1">
      <c r="A36" s="46" t="s">
        <v>100</v>
      </c>
      <c r="B36" s="48" t="s">
        <v>39</v>
      </c>
      <c r="C36" s="47">
        <v>51039.434000000001</v>
      </c>
      <c r="D36" s="47" t="s">
        <v>55</v>
      </c>
      <c r="E36">
        <f t="shared" si="0"/>
        <v>2240.0352733686063</v>
      </c>
      <c r="F36">
        <f t="shared" si="1"/>
        <v>2240</v>
      </c>
      <c r="G36" s="10">
        <f t="shared" si="2"/>
        <v>0.21199999999953434</v>
      </c>
      <c r="I36">
        <f t="shared" si="5"/>
        <v>0.21199999999953434</v>
      </c>
      <c r="Q36" s="2">
        <f t="shared" si="4"/>
        <v>36020.934000000001</v>
      </c>
    </row>
    <row r="37" spans="1:17" ht="12.75" customHeight="1">
      <c r="A37" s="46" t="s">
        <v>100</v>
      </c>
      <c r="B37" s="48" t="s">
        <v>39</v>
      </c>
      <c r="C37" s="47">
        <v>51045.46</v>
      </c>
      <c r="D37" s="47" t="s">
        <v>55</v>
      </c>
      <c r="E37">
        <f t="shared" si="0"/>
        <v>2241.0379022328698</v>
      </c>
      <c r="F37">
        <f t="shared" si="1"/>
        <v>2241</v>
      </c>
      <c r="G37" s="10">
        <f t="shared" si="2"/>
        <v>0.22779999999329448</v>
      </c>
      <c r="I37">
        <f t="shared" si="5"/>
        <v>0.22779999999329448</v>
      </c>
      <c r="Q37" s="2">
        <f t="shared" si="4"/>
        <v>36026.959999999999</v>
      </c>
    </row>
    <row r="38" spans="1:17" ht="12.75" customHeight="1">
      <c r="A38" s="46" t="s">
        <v>100</v>
      </c>
      <c r="B38" s="48" t="s">
        <v>39</v>
      </c>
      <c r="C38" s="47">
        <v>51051.481</v>
      </c>
      <c r="D38" s="47" t="s">
        <v>55</v>
      </c>
      <c r="E38">
        <f t="shared" si="0"/>
        <v>2242.0396991780631</v>
      </c>
      <c r="F38">
        <f t="shared" si="1"/>
        <v>2242</v>
      </c>
      <c r="G38" s="10">
        <f t="shared" si="2"/>
        <v>0.23859999999694992</v>
      </c>
      <c r="I38">
        <f t="shared" si="5"/>
        <v>0.23859999999694992</v>
      </c>
      <c r="O38">
        <f t="shared" ref="O38:O45" ca="1" si="6">+C$11+C$12*$F38</f>
        <v>0.23394815023140464</v>
      </c>
      <c r="Q38" s="2">
        <f t="shared" si="4"/>
        <v>36032.981</v>
      </c>
    </row>
    <row r="39" spans="1:17">
      <c r="A39" t="s">
        <v>40</v>
      </c>
      <c r="C39" s="30">
        <v>52500.001300000004</v>
      </c>
      <c r="D39" s="10"/>
      <c r="E39">
        <f t="shared" si="0"/>
        <v>2483.0500316129246</v>
      </c>
      <c r="F39">
        <f t="shared" si="1"/>
        <v>2483</v>
      </c>
      <c r="G39" s="10">
        <f t="shared" si="2"/>
        <v>0.30069999999977881</v>
      </c>
      <c r="K39">
        <f>G39</f>
        <v>0.30069999999977881</v>
      </c>
      <c r="O39">
        <f t="shared" ca="1" si="6"/>
        <v>0.29761131142965286</v>
      </c>
      <c r="Q39" s="2">
        <f t="shared" si="4"/>
        <v>37481.501300000004</v>
      </c>
    </row>
    <row r="40" spans="1:17">
      <c r="A40" s="51" t="s">
        <v>38</v>
      </c>
      <c r="B40" s="52" t="s">
        <v>39</v>
      </c>
      <c r="C40" s="53">
        <v>54098.797700000003</v>
      </c>
      <c r="D40" s="53">
        <v>1.2999999999999999E-3</v>
      </c>
      <c r="E40">
        <f t="shared" si="0"/>
        <v>2749.0638747462644</v>
      </c>
      <c r="F40">
        <f t="shared" si="1"/>
        <v>2749</v>
      </c>
      <c r="G40" s="10">
        <f t="shared" si="2"/>
        <v>0.38389999999344582</v>
      </c>
      <c r="J40">
        <f>G40</f>
        <v>0.38389999999344582</v>
      </c>
      <c r="O40">
        <f t="shared" ca="1" si="6"/>
        <v>0.36787853499286455</v>
      </c>
      <c r="Q40" s="2">
        <f t="shared" si="4"/>
        <v>39080.297700000003</v>
      </c>
    </row>
    <row r="41" spans="1:17">
      <c r="A41" s="51" t="s">
        <v>38</v>
      </c>
      <c r="B41" s="52" t="s">
        <v>39</v>
      </c>
      <c r="C41" s="53">
        <v>54261.078399999999</v>
      </c>
      <c r="D41" s="53">
        <v>1.6000000000000001E-3</v>
      </c>
      <c r="E41">
        <f t="shared" si="0"/>
        <v>2776.0647565804788</v>
      </c>
      <c r="F41">
        <f t="shared" si="1"/>
        <v>2776</v>
      </c>
      <c r="G41" s="10">
        <f t="shared" si="2"/>
        <v>0.38919999999052379</v>
      </c>
      <c r="J41">
        <f>G41</f>
        <v>0.38919999999052379</v>
      </c>
      <c r="O41">
        <f t="shared" ca="1" si="6"/>
        <v>0.37501092234702521</v>
      </c>
      <c r="Q41" s="2">
        <f t="shared" si="4"/>
        <v>39242.578399999999</v>
      </c>
    </row>
    <row r="42" spans="1:17">
      <c r="A42" s="46" t="s">
        <v>121</v>
      </c>
      <c r="B42" s="48" t="s">
        <v>39</v>
      </c>
      <c r="C42" s="47">
        <v>55084.505700000002</v>
      </c>
      <c r="D42" s="47" t="s">
        <v>55</v>
      </c>
      <c r="E42">
        <f t="shared" si="0"/>
        <v>2913.0697314565236</v>
      </c>
      <c r="F42">
        <f t="shared" si="1"/>
        <v>2913</v>
      </c>
      <c r="G42" s="10">
        <f t="shared" si="2"/>
        <v>0.41909999999916181</v>
      </c>
      <c r="K42">
        <f>G42</f>
        <v>0.41909999999916181</v>
      </c>
      <c r="O42">
        <f t="shared" ca="1" si="6"/>
        <v>0.41120118410702516</v>
      </c>
      <c r="Q42" s="2">
        <f t="shared" si="4"/>
        <v>40066.005700000002</v>
      </c>
    </row>
    <row r="43" spans="1:17">
      <c r="A43" s="46" t="s">
        <v>121</v>
      </c>
      <c r="B43" s="48" t="s">
        <v>39</v>
      </c>
      <c r="C43" s="47">
        <v>55102.533499999998</v>
      </c>
      <c r="D43" s="47" t="s">
        <v>55</v>
      </c>
      <c r="E43">
        <f t="shared" si="0"/>
        <v>2916.069265581843</v>
      </c>
      <c r="F43">
        <f t="shared" si="1"/>
        <v>2916</v>
      </c>
      <c r="G43" s="10">
        <f t="shared" si="2"/>
        <v>0.41629999998986023</v>
      </c>
      <c r="K43">
        <f>G43</f>
        <v>0.41629999998986023</v>
      </c>
      <c r="O43">
        <f t="shared" ca="1" si="6"/>
        <v>0.41199367159082084</v>
      </c>
      <c r="Q43" s="2">
        <f t="shared" si="4"/>
        <v>40084.033499999998</v>
      </c>
    </row>
    <row r="44" spans="1:17">
      <c r="A44" s="46" t="s">
        <v>121</v>
      </c>
      <c r="B44" s="48" t="s">
        <v>39</v>
      </c>
      <c r="C44" s="47">
        <v>55108.544900000001</v>
      </c>
      <c r="D44" s="47" t="s">
        <v>55</v>
      </c>
      <c r="E44">
        <f t="shared" si="0"/>
        <v>2917.0694652424208</v>
      </c>
      <c r="F44">
        <f t="shared" si="1"/>
        <v>2917</v>
      </c>
      <c r="G44" s="10">
        <f t="shared" si="2"/>
        <v>0.41749999999592546</v>
      </c>
      <c r="K44">
        <f>G44</f>
        <v>0.41749999999592546</v>
      </c>
      <c r="O44">
        <f t="shared" ca="1" si="6"/>
        <v>0.41225783408541933</v>
      </c>
      <c r="Q44" s="2">
        <f t="shared" si="4"/>
        <v>40090.044900000001</v>
      </c>
    </row>
    <row r="45" spans="1:17">
      <c r="A45" s="31" t="s">
        <v>44</v>
      </c>
      <c r="B45" s="32" t="s">
        <v>39</v>
      </c>
      <c r="C45" s="31">
        <v>55691.551099999997</v>
      </c>
      <c r="D45" s="31">
        <v>6.9999999999999999E-4</v>
      </c>
      <c r="E45">
        <f t="shared" si="0"/>
        <v>3014.0722604904981</v>
      </c>
      <c r="F45">
        <f t="shared" si="1"/>
        <v>3014</v>
      </c>
      <c r="G45" s="10">
        <f t="shared" si="2"/>
        <v>0.43429999999352731</v>
      </c>
      <c r="J45">
        <f>G45</f>
        <v>0.43429999999352731</v>
      </c>
      <c r="O45">
        <f t="shared" ca="1" si="6"/>
        <v>0.43788159606147775</v>
      </c>
      <c r="Q45" s="2">
        <f t="shared" si="4"/>
        <v>40673.051099999997</v>
      </c>
    </row>
    <row r="46" spans="1:17">
      <c r="A46" s="54" t="s">
        <v>0</v>
      </c>
      <c r="B46" s="55" t="s">
        <v>39</v>
      </c>
      <c r="C46" s="56">
        <v>57296.324099999998</v>
      </c>
      <c r="D46" s="57">
        <v>3.3E-3</v>
      </c>
      <c r="E46">
        <f>+(C46-C$7)/C$8</f>
        <v>3281.080513127682</v>
      </c>
      <c r="F46">
        <f t="shared" si="1"/>
        <v>3281</v>
      </c>
      <c r="G46" s="10">
        <f>+C46-(C$7+F46*C$8)</f>
        <v>0.48389999999199063</v>
      </c>
      <c r="K46">
        <f>G46</f>
        <v>0.48389999999199063</v>
      </c>
      <c r="O46">
        <f ca="1">+C$11+C$12*$F46</f>
        <v>0.50841298211928798</v>
      </c>
      <c r="Q46" s="2">
        <f>+C46-15018.5</f>
        <v>42277.824099999998</v>
      </c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hyperlinks>
    <hyperlink ref="H1015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7"/>
  <sheetViews>
    <sheetView topLeftCell="A3" workbookViewId="0">
      <selection activeCell="A14" sqref="A14:D32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3" t="s">
        <v>45</v>
      </c>
      <c r="I1" s="34" t="s">
        <v>46</v>
      </c>
      <c r="J1" s="35" t="s">
        <v>47</v>
      </c>
    </row>
    <row r="2" spans="1:16">
      <c r="I2" s="36" t="s">
        <v>48</v>
      </c>
      <c r="J2" s="37" t="s">
        <v>49</v>
      </c>
    </row>
    <row r="3" spans="1:16">
      <c r="A3" s="38" t="s">
        <v>50</v>
      </c>
      <c r="I3" s="36" t="s">
        <v>51</v>
      </c>
      <c r="J3" s="37" t="s">
        <v>52</v>
      </c>
    </row>
    <row r="4" spans="1:16">
      <c r="I4" s="36" t="s">
        <v>53</v>
      </c>
      <c r="J4" s="37" t="s">
        <v>52</v>
      </c>
    </row>
    <row r="5" spans="1:16" ht="13.5" thickBot="1">
      <c r="I5" s="39" t="s">
        <v>54</v>
      </c>
      <c r="J5" s="40" t="s">
        <v>55</v>
      </c>
    </row>
    <row r="10" spans="1:16" ht="13.5" thickBot="1"/>
    <row r="11" spans="1:16" ht="12.75" customHeight="1" thickBot="1">
      <c r="A11" s="10" t="str">
        <f t="shared" ref="A11:A32" si="0">P11</f>
        <v>IBVS 5931 </v>
      </c>
      <c r="B11" s="3" t="str">
        <f t="shared" ref="B11:B32" si="1">IF(H11=INT(H11),"I","II")</f>
        <v>I</v>
      </c>
      <c r="C11" s="10">
        <f t="shared" ref="C11:C32" si="2">1*G11</f>
        <v>54098.797700000003</v>
      </c>
      <c r="D11" s="12" t="str">
        <f t="shared" ref="D11:D32" si="3">VLOOKUP(F11,I$1:J$5,2,FALSE)</f>
        <v>vis</v>
      </c>
      <c r="E11" s="41">
        <f>VLOOKUP(C11,A!C$21:E$973,3,FALSE)</f>
        <v>2749.0638747462644</v>
      </c>
      <c r="F11" s="3" t="s">
        <v>54</v>
      </c>
      <c r="G11" s="12" t="str">
        <f t="shared" ref="G11:G32" si="4">MID(I11,3,LEN(I11)-3)</f>
        <v>54098.7977</v>
      </c>
      <c r="H11" s="10">
        <f t="shared" ref="H11:H32" si="5">1*K11</f>
        <v>2749</v>
      </c>
      <c r="I11" s="42" t="s">
        <v>107</v>
      </c>
      <c r="J11" s="43" t="s">
        <v>108</v>
      </c>
      <c r="K11" s="42">
        <v>2749</v>
      </c>
      <c r="L11" s="42" t="s">
        <v>109</v>
      </c>
      <c r="M11" s="43" t="s">
        <v>110</v>
      </c>
      <c r="N11" s="43" t="s">
        <v>54</v>
      </c>
      <c r="O11" s="44" t="s">
        <v>111</v>
      </c>
      <c r="P11" s="45" t="s">
        <v>112</v>
      </c>
    </row>
    <row r="12" spans="1:16" ht="12.75" customHeight="1" thickBot="1">
      <c r="A12" s="10" t="str">
        <f t="shared" si="0"/>
        <v>IBVS 5931 </v>
      </c>
      <c r="B12" s="3" t="str">
        <f t="shared" si="1"/>
        <v>I</v>
      </c>
      <c r="C12" s="10">
        <f t="shared" si="2"/>
        <v>54261.078399999999</v>
      </c>
      <c r="D12" s="12" t="str">
        <f t="shared" si="3"/>
        <v>vis</v>
      </c>
      <c r="E12" s="41">
        <f>VLOOKUP(C12,A!C$21:E$973,3,FALSE)</f>
        <v>2776.0647565804788</v>
      </c>
      <c r="F12" s="3" t="s">
        <v>54</v>
      </c>
      <c r="G12" s="12" t="str">
        <f t="shared" si="4"/>
        <v>54261.0784</v>
      </c>
      <c r="H12" s="10">
        <f t="shared" si="5"/>
        <v>2776</v>
      </c>
      <c r="I12" s="42" t="s">
        <v>113</v>
      </c>
      <c r="J12" s="43" t="s">
        <v>114</v>
      </c>
      <c r="K12" s="42">
        <v>2776</v>
      </c>
      <c r="L12" s="42" t="s">
        <v>115</v>
      </c>
      <c r="M12" s="43" t="s">
        <v>110</v>
      </c>
      <c r="N12" s="43" t="s">
        <v>54</v>
      </c>
      <c r="O12" s="44" t="s">
        <v>111</v>
      </c>
      <c r="P12" s="45" t="s">
        <v>112</v>
      </c>
    </row>
    <row r="13" spans="1:16" ht="12.75" customHeight="1" thickBot="1">
      <c r="A13" s="10" t="str">
        <f t="shared" si="0"/>
        <v>BAVM 220 </v>
      </c>
      <c r="B13" s="3" t="str">
        <f t="shared" si="1"/>
        <v>I</v>
      </c>
      <c r="C13" s="10">
        <f t="shared" si="2"/>
        <v>55691.551099999997</v>
      </c>
      <c r="D13" s="12" t="str">
        <f t="shared" si="3"/>
        <v>vis</v>
      </c>
      <c r="E13" s="41">
        <f>VLOOKUP(C13,A!C$21:E$973,3,FALSE)</f>
        <v>3014.0722604904981</v>
      </c>
      <c r="F13" s="3" t="s">
        <v>54</v>
      </c>
      <c r="G13" s="12" t="str">
        <f t="shared" si="4"/>
        <v>55691.5511</v>
      </c>
      <c r="H13" s="10">
        <f t="shared" si="5"/>
        <v>3014</v>
      </c>
      <c r="I13" s="42" t="s">
        <v>131</v>
      </c>
      <c r="J13" s="43" t="s">
        <v>132</v>
      </c>
      <c r="K13" s="42" t="s">
        <v>133</v>
      </c>
      <c r="L13" s="42" t="s">
        <v>134</v>
      </c>
      <c r="M13" s="43" t="s">
        <v>110</v>
      </c>
      <c r="N13" s="43" t="s">
        <v>125</v>
      </c>
      <c r="O13" s="44" t="s">
        <v>126</v>
      </c>
      <c r="P13" s="45" t="s">
        <v>135</v>
      </c>
    </row>
    <row r="14" spans="1:16" ht="12.75" customHeight="1" thickBot="1">
      <c r="A14" s="10" t="str">
        <f t="shared" si="0"/>
        <v> PZ 7.258 </v>
      </c>
      <c r="B14" s="3" t="str">
        <f t="shared" si="1"/>
        <v>I</v>
      </c>
      <c r="C14" s="10">
        <f t="shared" si="2"/>
        <v>28759.45</v>
      </c>
      <c r="D14" s="12" t="str">
        <f t="shared" si="3"/>
        <v>vis</v>
      </c>
      <c r="E14" s="41">
        <f>VLOOKUP(C14,A!C$21:E$973,3,FALSE)</f>
        <v>-1466.9934444777216</v>
      </c>
      <c r="F14" s="3" t="s">
        <v>54</v>
      </c>
      <c r="G14" s="12" t="str">
        <f t="shared" si="4"/>
        <v>28759.45</v>
      </c>
      <c r="H14" s="10">
        <f t="shared" si="5"/>
        <v>-1467</v>
      </c>
      <c r="I14" s="42" t="s">
        <v>57</v>
      </c>
      <c r="J14" s="43" t="s">
        <v>58</v>
      </c>
      <c r="K14" s="42">
        <v>-1467</v>
      </c>
      <c r="L14" s="42" t="s">
        <v>59</v>
      </c>
      <c r="M14" s="43" t="s">
        <v>56</v>
      </c>
      <c r="N14" s="43"/>
      <c r="O14" s="44" t="s">
        <v>60</v>
      </c>
      <c r="P14" s="44" t="s">
        <v>61</v>
      </c>
    </row>
    <row r="15" spans="1:16" ht="12.75" customHeight="1" thickBot="1">
      <c r="A15" s="10" t="str">
        <f t="shared" si="0"/>
        <v> PZ 7.258 </v>
      </c>
      <c r="B15" s="3" t="str">
        <f t="shared" si="1"/>
        <v>I</v>
      </c>
      <c r="C15" s="10">
        <f t="shared" si="2"/>
        <v>32774.22</v>
      </c>
      <c r="D15" s="12" t="str">
        <f t="shared" si="3"/>
        <v>vis</v>
      </c>
      <c r="E15" s="41">
        <f>VLOOKUP(C15,A!C$21:E$973,3,FALSE)</f>
        <v>-799.00069881201989</v>
      </c>
      <c r="F15" s="3" t="s">
        <v>54</v>
      </c>
      <c r="G15" s="12" t="str">
        <f t="shared" si="4"/>
        <v>32774.22</v>
      </c>
      <c r="H15" s="10">
        <f t="shared" si="5"/>
        <v>-799</v>
      </c>
      <c r="I15" s="42" t="s">
        <v>62</v>
      </c>
      <c r="J15" s="43" t="s">
        <v>63</v>
      </c>
      <c r="K15" s="42">
        <v>-799</v>
      </c>
      <c r="L15" s="42" t="s">
        <v>64</v>
      </c>
      <c r="M15" s="43" t="s">
        <v>56</v>
      </c>
      <c r="N15" s="43"/>
      <c r="O15" s="44" t="s">
        <v>60</v>
      </c>
      <c r="P15" s="44" t="s">
        <v>61</v>
      </c>
    </row>
    <row r="16" spans="1:16" ht="12.75" customHeight="1" thickBot="1">
      <c r="A16" s="10" t="str">
        <f t="shared" si="0"/>
        <v> PZ 7.258 </v>
      </c>
      <c r="B16" s="3" t="str">
        <f t="shared" si="1"/>
        <v>I</v>
      </c>
      <c r="C16" s="10">
        <f t="shared" si="2"/>
        <v>32798.26</v>
      </c>
      <c r="D16" s="12" t="str">
        <f t="shared" si="3"/>
        <v>vis</v>
      </c>
      <c r="E16" s="41">
        <f>VLOOKUP(C16,A!C$21:E$973,3,FALSE)</f>
        <v>-795.00083191907106</v>
      </c>
      <c r="F16" s="3" t="s">
        <v>54</v>
      </c>
      <c r="G16" s="12" t="str">
        <f t="shared" si="4"/>
        <v>32798.26</v>
      </c>
      <c r="H16" s="10">
        <f t="shared" si="5"/>
        <v>-795</v>
      </c>
      <c r="I16" s="42" t="s">
        <v>65</v>
      </c>
      <c r="J16" s="43" t="s">
        <v>66</v>
      </c>
      <c r="K16" s="42">
        <v>-795</v>
      </c>
      <c r="L16" s="42" t="s">
        <v>67</v>
      </c>
      <c r="M16" s="43" t="s">
        <v>56</v>
      </c>
      <c r="N16" s="43"/>
      <c r="O16" s="44" t="s">
        <v>60</v>
      </c>
      <c r="P16" s="44" t="s">
        <v>61</v>
      </c>
    </row>
    <row r="17" spans="1:16" ht="12.75" customHeight="1" thickBot="1">
      <c r="A17" s="10" t="str">
        <f t="shared" si="0"/>
        <v> PZ 7.258 </v>
      </c>
      <c r="B17" s="3" t="str">
        <f t="shared" si="1"/>
        <v>I</v>
      </c>
      <c r="C17" s="10">
        <f t="shared" si="2"/>
        <v>32822.300000000003</v>
      </c>
      <c r="D17" s="12" t="str">
        <f t="shared" si="3"/>
        <v>vis</v>
      </c>
      <c r="E17" s="41">
        <f>VLOOKUP(C17,A!C$21:E$973,3,FALSE)</f>
        <v>-791.00096502612234</v>
      </c>
      <c r="F17" s="3" t="s">
        <v>54</v>
      </c>
      <c r="G17" s="12" t="str">
        <f t="shared" si="4"/>
        <v>32822.30</v>
      </c>
      <c r="H17" s="10">
        <f t="shared" si="5"/>
        <v>-791</v>
      </c>
      <c r="I17" s="42" t="s">
        <v>68</v>
      </c>
      <c r="J17" s="43" t="s">
        <v>69</v>
      </c>
      <c r="K17" s="42">
        <v>-791</v>
      </c>
      <c r="L17" s="42" t="s">
        <v>67</v>
      </c>
      <c r="M17" s="43" t="s">
        <v>56</v>
      </c>
      <c r="N17" s="43"/>
      <c r="O17" s="44" t="s">
        <v>60</v>
      </c>
      <c r="P17" s="44" t="s">
        <v>61</v>
      </c>
    </row>
    <row r="18" spans="1:16" ht="12.75" customHeight="1" thickBot="1">
      <c r="A18" s="10" t="str">
        <f t="shared" si="0"/>
        <v> PZ 7.258 </v>
      </c>
      <c r="B18" s="3" t="str">
        <f t="shared" si="1"/>
        <v>I</v>
      </c>
      <c r="C18" s="10">
        <f t="shared" si="2"/>
        <v>32834.300000000003</v>
      </c>
      <c r="D18" s="12" t="str">
        <f t="shared" si="3"/>
        <v>vis</v>
      </c>
      <c r="E18" s="41">
        <f>VLOOKUP(C18,A!C$21:E$973,3,FALSE)</f>
        <v>-789.0043592559316</v>
      </c>
      <c r="F18" s="3" t="s">
        <v>54</v>
      </c>
      <c r="G18" s="12" t="str">
        <f t="shared" si="4"/>
        <v>32834.30</v>
      </c>
      <c r="H18" s="10">
        <f t="shared" si="5"/>
        <v>-789</v>
      </c>
      <c r="I18" s="42" t="s">
        <v>70</v>
      </c>
      <c r="J18" s="43" t="s">
        <v>71</v>
      </c>
      <c r="K18" s="42">
        <v>-789</v>
      </c>
      <c r="L18" s="42" t="s">
        <v>72</v>
      </c>
      <c r="M18" s="43" t="s">
        <v>56</v>
      </c>
      <c r="N18" s="43"/>
      <c r="O18" s="44" t="s">
        <v>60</v>
      </c>
      <c r="P18" s="44" t="s">
        <v>61</v>
      </c>
    </row>
    <row r="19" spans="1:16" ht="12.75" customHeight="1" thickBot="1">
      <c r="A19" s="10" t="str">
        <f t="shared" si="0"/>
        <v> MVS 710 </v>
      </c>
      <c r="B19" s="3" t="str">
        <f t="shared" si="1"/>
        <v>I</v>
      </c>
      <c r="C19" s="10">
        <f t="shared" si="2"/>
        <v>37492.230000000003</v>
      </c>
      <c r="D19" s="12" t="str">
        <f t="shared" si="3"/>
        <v>vis</v>
      </c>
      <c r="E19" s="41">
        <f>VLOOKUP(C19,A!C$21:E$973,3,FALSE)</f>
        <v>-14.000199660577056</v>
      </c>
      <c r="F19" s="3" t="s">
        <v>54</v>
      </c>
      <c r="G19" s="12" t="str">
        <f t="shared" si="4"/>
        <v>37492.23</v>
      </c>
      <c r="H19" s="10">
        <f t="shared" si="5"/>
        <v>-14</v>
      </c>
      <c r="I19" s="42" t="s">
        <v>73</v>
      </c>
      <c r="J19" s="43" t="s">
        <v>74</v>
      </c>
      <c r="K19" s="42">
        <v>-14</v>
      </c>
      <c r="L19" s="42" t="s">
        <v>64</v>
      </c>
      <c r="M19" s="43" t="s">
        <v>56</v>
      </c>
      <c r="N19" s="43"/>
      <c r="O19" s="44" t="s">
        <v>75</v>
      </c>
      <c r="P19" s="44" t="s">
        <v>76</v>
      </c>
    </row>
    <row r="20" spans="1:16" ht="12.75" customHeight="1" thickBot="1">
      <c r="A20" s="10" t="str">
        <f t="shared" si="0"/>
        <v> MVS 710 </v>
      </c>
      <c r="B20" s="3" t="str">
        <f t="shared" si="1"/>
        <v>I</v>
      </c>
      <c r="C20" s="10">
        <f t="shared" si="2"/>
        <v>37546.29</v>
      </c>
      <c r="D20" s="12" t="str">
        <f t="shared" si="3"/>
        <v>vis</v>
      </c>
      <c r="E20" s="41">
        <f>VLOOKUP(C20,A!C$21:E$973,3,FALSE)</f>
        <v>-5.0054906658684502</v>
      </c>
      <c r="F20" s="3" t="s">
        <v>54</v>
      </c>
      <c r="G20" s="12" t="str">
        <f t="shared" si="4"/>
        <v>37546.29</v>
      </c>
      <c r="H20" s="10">
        <f t="shared" si="5"/>
        <v>-5</v>
      </c>
      <c r="I20" s="42" t="s">
        <v>77</v>
      </c>
      <c r="J20" s="43" t="s">
        <v>78</v>
      </c>
      <c r="K20" s="42">
        <v>-5</v>
      </c>
      <c r="L20" s="42" t="s">
        <v>72</v>
      </c>
      <c r="M20" s="43" t="s">
        <v>79</v>
      </c>
      <c r="N20" s="43"/>
      <c r="O20" s="44" t="s">
        <v>75</v>
      </c>
      <c r="P20" s="44" t="s">
        <v>76</v>
      </c>
    </row>
    <row r="21" spans="1:16" ht="12.75" customHeight="1" thickBot="1">
      <c r="A21" s="10" t="str">
        <f t="shared" si="0"/>
        <v> MVS 710 </v>
      </c>
      <c r="B21" s="3" t="str">
        <f t="shared" si="1"/>
        <v>I</v>
      </c>
      <c r="C21" s="10">
        <f t="shared" si="2"/>
        <v>37558.36</v>
      </c>
      <c r="D21" s="12" t="str">
        <f t="shared" si="3"/>
        <v>vis</v>
      </c>
      <c r="E21" s="41">
        <f>VLOOKUP(C21,A!C$21:E$973,3,FALSE)</f>
        <v>-2.997238028685044</v>
      </c>
      <c r="F21" s="3" t="s">
        <v>54</v>
      </c>
      <c r="G21" s="12" t="str">
        <f t="shared" si="4"/>
        <v>37558.36</v>
      </c>
      <c r="H21" s="10">
        <f t="shared" si="5"/>
        <v>-3</v>
      </c>
      <c r="I21" s="42" t="s">
        <v>80</v>
      </c>
      <c r="J21" s="43" t="s">
        <v>81</v>
      </c>
      <c r="K21" s="42">
        <v>-3</v>
      </c>
      <c r="L21" s="42" t="s">
        <v>82</v>
      </c>
      <c r="M21" s="43" t="s">
        <v>56</v>
      </c>
      <c r="N21" s="43"/>
      <c r="O21" s="44" t="s">
        <v>75</v>
      </c>
      <c r="P21" s="44" t="s">
        <v>76</v>
      </c>
    </row>
    <row r="22" spans="1:16" ht="12.75" customHeight="1" thickBot="1">
      <c r="A22" s="10" t="str">
        <f t="shared" si="0"/>
        <v> MVS 710 </v>
      </c>
      <c r="B22" s="3" t="str">
        <f t="shared" si="1"/>
        <v>I</v>
      </c>
      <c r="C22" s="10">
        <f t="shared" si="2"/>
        <v>37570.379999999997</v>
      </c>
      <c r="D22" s="12" t="str">
        <f t="shared" si="3"/>
        <v>vis</v>
      </c>
      <c r="E22" s="41">
        <f>VLOOKUP(C22,A!C$21:E$973,3,FALSE)</f>
        <v>-0.99730458221124973</v>
      </c>
      <c r="F22" s="3" t="s">
        <v>54</v>
      </c>
      <c r="G22" s="12" t="str">
        <f t="shared" si="4"/>
        <v>37570.38</v>
      </c>
      <c r="H22" s="10">
        <f t="shared" si="5"/>
        <v>-1</v>
      </c>
      <c r="I22" s="42" t="s">
        <v>83</v>
      </c>
      <c r="J22" s="43" t="s">
        <v>84</v>
      </c>
      <c r="K22" s="42">
        <v>-1</v>
      </c>
      <c r="L22" s="42" t="s">
        <v>82</v>
      </c>
      <c r="M22" s="43" t="s">
        <v>79</v>
      </c>
      <c r="N22" s="43"/>
      <c r="O22" s="44" t="s">
        <v>75</v>
      </c>
      <c r="P22" s="44" t="s">
        <v>76</v>
      </c>
    </row>
    <row r="23" spans="1:16" ht="12.75" customHeight="1" thickBot="1">
      <c r="A23" s="10" t="str">
        <f t="shared" si="0"/>
        <v> MVS 710 </v>
      </c>
      <c r="B23" s="3" t="str">
        <f t="shared" si="1"/>
        <v>I</v>
      </c>
      <c r="C23" s="10">
        <f t="shared" si="2"/>
        <v>37576.370000000003</v>
      </c>
      <c r="D23" s="12" t="str">
        <f t="shared" si="3"/>
        <v>vis</v>
      </c>
      <c r="E23" s="41">
        <f>VLOOKUP(C23,A!C$21:E$973,3,FALSE)</f>
        <v>-6.6553525686581267E-4</v>
      </c>
      <c r="F23" s="3" t="s">
        <v>54</v>
      </c>
      <c r="G23" s="12" t="str">
        <f t="shared" si="4"/>
        <v>37576.37</v>
      </c>
      <c r="H23" s="10">
        <f t="shared" si="5"/>
        <v>0</v>
      </c>
      <c r="I23" s="42" t="s">
        <v>85</v>
      </c>
      <c r="J23" s="43" t="s">
        <v>86</v>
      </c>
      <c r="K23" s="42">
        <v>0</v>
      </c>
      <c r="L23" s="42" t="s">
        <v>64</v>
      </c>
      <c r="M23" s="43" t="s">
        <v>56</v>
      </c>
      <c r="N23" s="43"/>
      <c r="O23" s="44" t="s">
        <v>75</v>
      </c>
      <c r="P23" s="44" t="s">
        <v>76</v>
      </c>
    </row>
    <row r="24" spans="1:16" ht="12.75" customHeight="1" thickBot="1">
      <c r="A24" s="10" t="str">
        <f t="shared" si="0"/>
        <v> MVS 710 </v>
      </c>
      <c r="B24" s="3" t="str">
        <f t="shared" si="1"/>
        <v>I</v>
      </c>
      <c r="C24" s="10">
        <f t="shared" si="2"/>
        <v>37582.36</v>
      </c>
      <c r="D24" s="12" t="str">
        <f t="shared" si="3"/>
        <v>vis</v>
      </c>
      <c r="E24" s="41">
        <f>VLOOKUP(C24,A!C$21:E$973,3,FALSE)</f>
        <v>0.99597351169630755</v>
      </c>
      <c r="F24" s="3" t="s">
        <v>54</v>
      </c>
      <c r="G24" s="12" t="str">
        <f t="shared" si="4"/>
        <v>37582.36</v>
      </c>
      <c r="H24" s="10">
        <f t="shared" si="5"/>
        <v>1</v>
      </c>
      <c r="I24" s="42" t="s">
        <v>87</v>
      </c>
      <c r="J24" s="43" t="s">
        <v>88</v>
      </c>
      <c r="K24" s="42">
        <v>1</v>
      </c>
      <c r="L24" s="42" t="s">
        <v>89</v>
      </c>
      <c r="M24" s="43" t="s">
        <v>56</v>
      </c>
      <c r="N24" s="43"/>
      <c r="O24" s="44" t="s">
        <v>75</v>
      </c>
      <c r="P24" s="44" t="s">
        <v>76</v>
      </c>
    </row>
    <row r="25" spans="1:16" ht="12.75" customHeight="1" thickBot="1">
      <c r="A25" s="10" t="str">
        <f t="shared" si="0"/>
        <v> MVS 710 </v>
      </c>
      <c r="B25" s="3" t="str">
        <f t="shared" si="1"/>
        <v>I</v>
      </c>
      <c r="C25" s="10">
        <f t="shared" si="2"/>
        <v>37636.480000000003</v>
      </c>
      <c r="D25" s="12" t="str">
        <f t="shared" si="3"/>
        <v>vis</v>
      </c>
      <c r="E25" s="41">
        <f>VLOOKUP(C25,A!C$21:E$973,3,FALSE)</f>
        <v>10.000665535256692</v>
      </c>
      <c r="F25" s="3" t="s">
        <v>54</v>
      </c>
      <c r="G25" s="12" t="str">
        <f t="shared" si="4"/>
        <v>37636.48</v>
      </c>
      <c r="H25" s="10">
        <f t="shared" si="5"/>
        <v>10</v>
      </c>
      <c r="I25" s="42" t="s">
        <v>90</v>
      </c>
      <c r="J25" s="43" t="s">
        <v>91</v>
      </c>
      <c r="K25" s="42">
        <v>10</v>
      </c>
      <c r="L25" s="42" t="s">
        <v>92</v>
      </c>
      <c r="M25" s="43" t="s">
        <v>79</v>
      </c>
      <c r="N25" s="43"/>
      <c r="O25" s="44" t="s">
        <v>75</v>
      </c>
      <c r="P25" s="44" t="s">
        <v>76</v>
      </c>
    </row>
    <row r="26" spans="1:16" ht="12.75" customHeight="1" thickBot="1">
      <c r="A26" s="10" t="str">
        <f t="shared" si="0"/>
        <v> MVS 710 </v>
      </c>
      <c r="B26" s="3" t="str">
        <f t="shared" si="1"/>
        <v>I</v>
      </c>
      <c r="C26" s="10">
        <f t="shared" si="2"/>
        <v>37642.47</v>
      </c>
      <c r="D26" s="12" t="str">
        <f t="shared" si="3"/>
        <v>vis</v>
      </c>
      <c r="E26" s="41">
        <f>VLOOKUP(C26,A!C$21:E$973,3,FALSE)</f>
        <v>10.997304582209864</v>
      </c>
      <c r="F26" s="3" t="s">
        <v>54</v>
      </c>
      <c r="G26" s="12" t="str">
        <f t="shared" si="4"/>
        <v>37642.47</v>
      </c>
      <c r="H26" s="10">
        <f t="shared" si="5"/>
        <v>11</v>
      </c>
      <c r="I26" s="42" t="s">
        <v>93</v>
      </c>
      <c r="J26" s="43" t="s">
        <v>94</v>
      </c>
      <c r="K26" s="42">
        <v>11</v>
      </c>
      <c r="L26" s="42" t="s">
        <v>89</v>
      </c>
      <c r="M26" s="43" t="s">
        <v>79</v>
      </c>
      <c r="N26" s="43"/>
      <c r="O26" s="44" t="s">
        <v>75</v>
      </c>
      <c r="P26" s="44" t="s">
        <v>76</v>
      </c>
    </row>
    <row r="27" spans="1:16" ht="12.75" customHeight="1" thickBot="1">
      <c r="A27" s="10" t="str">
        <f t="shared" si="0"/>
        <v> BBS 119 </v>
      </c>
      <c r="B27" s="3" t="str">
        <f t="shared" si="1"/>
        <v>I</v>
      </c>
      <c r="C27" s="10">
        <f t="shared" si="2"/>
        <v>51039.434000000001</v>
      </c>
      <c r="D27" s="12" t="str">
        <f t="shared" si="3"/>
        <v>vis</v>
      </c>
      <c r="E27" s="41">
        <f>VLOOKUP(C27,A!C$21:E$973,3,FALSE)</f>
        <v>2240.0352733686063</v>
      </c>
      <c r="F27" s="3" t="s">
        <v>54</v>
      </c>
      <c r="G27" s="12" t="str">
        <f t="shared" si="4"/>
        <v>51039.434</v>
      </c>
      <c r="H27" s="10">
        <f t="shared" si="5"/>
        <v>2240</v>
      </c>
      <c r="I27" s="42" t="s">
        <v>95</v>
      </c>
      <c r="J27" s="43" t="s">
        <v>96</v>
      </c>
      <c r="K27" s="42">
        <v>2240</v>
      </c>
      <c r="L27" s="42" t="s">
        <v>97</v>
      </c>
      <c r="M27" s="43" t="s">
        <v>98</v>
      </c>
      <c r="N27" s="43"/>
      <c r="O27" s="44" t="s">
        <v>99</v>
      </c>
      <c r="P27" s="44" t="s">
        <v>100</v>
      </c>
    </row>
    <row r="28" spans="1:16" ht="12.75" customHeight="1" thickBot="1">
      <c r="A28" s="10" t="str">
        <f t="shared" si="0"/>
        <v> BBS 119 </v>
      </c>
      <c r="B28" s="3" t="str">
        <f t="shared" si="1"/>
        <v>I</v>
      </c>
      <c r="C28" s="10">
        <f t="shared" si="2"/>
        <v>51045.46</v>
      </c>
      <c r="D28" s="12" t="str">
        <f t="shared" si="3"/>
        <v>vis</v>
      </c>
      <c r="E28" s="41">
        <f>VLOOKUP(C28,A!C$21:E$973,3,FALSE)</f>
        <v>2241.0379022328698</v>
      </c>
      <c r="F28" s="3" t="s">
        <v>54</v>
      </c>
      <c r="G28" s="12" t="str">
        <f t="shared" si="4"/>
        <v>51045.460</v>
      </c>
      <c r="H28" s="10">
        <f t="shared" si="5"/>
        <v>2241</v>
      </c>
      <c r="I28" s="42" t="s">
        <v>101</v>
      </c>
      <c r="J28" s="43" t="s">
        <v>102</v>
      </c>
      <c r="K28" s="42">
        <v>2241</v>
      </c>
      <c r="L28" s="42" t="s">
        <v>103</v>
      </c>
      <c r="M28" s="43" t="s">
        <v>98</v>
      </c>
      <c r="N28" s="43"/>
      <c r="O28" s="44" t="s">
        <v>99</v>
      </c>
      <c r="P28" s="44" t="s">
        <v>100</v>
      </c>
    </row>
    <row r="29" spans="1:16" ht="12.75" customHeight="1" thickBot="1">
      <c r="A29" s="10" t="str">
        <f t="shared" si="0"/>
        <v> BBS 119 </v>
      </c>
      <c r="B29" s="3" t="str">
        <f t="shared" si="1"/>
        <v>I</v>
      </c>
      <c r="C29" s="10">
        <f t="shared" si="2"/>
        <v>51051.481</v>
      </c>
      <c r="D29" s="12" t="str">
        <f t="shared" si="3"/>
        <v>vis</v>
      </c>
      <c r="E29" s="41">
        <f>VLOOKUP(C29,A!C$21:E$973,3,FALSE)</f>
        <v>2242.0396991780631</v>
      </c>
      <c r="F29" s="3" t="s">
        <v>54</v>
      </c>
      <c r="G29" s="12" t="str">
        <f t="shared" si="4"/>
        <v>51051.481</v>
      </c>
      <c r="H29" s="10">
        <f t="shared" si="5"/>
        <v>2242</v>
      </c>
      <c r="I29" s="42" t="s">
        <v>104</v>
      </c>
      <c r="J29" s="43" t="s">
        <v>105</v>
      </c>
      <c r="K29" s="42">
        <v>2242</v>
      </c>
      <c r="L29" s="42" t="s">
        <v>106</v>
      </c>
      <c r="M29" s="43" t="s">
        <v>98</v>
      </c>
      <c r="N29" s="43"/>
      <c r="O29" s="44" t="s">
        <v>99</v>
      </c>
      <c r="P29" s="44" t="s">
        <v>100</v>
      </c>
    </row>
    <row r="30" spans="1:16" ht="12.75" customHeight="1" thickBot="1">
      <c r="A30" s="10" t="str">
        <f t="shared" si="0"/>
        <v>BAVM 212 </v>
      </c>
      <c r="B30" s="3" t="str">
        <f t="shared" si="1"/>
        <v>I</v>
      </c>
      <c r="C30" s="10">
        <f t="shared" si="2"/>
        <v>55084.505700000002</v>
      </c>
      <c r="D30" s="12" t="str">
        <f t="shared" si="3"/>
        <v>vis</v>
      </c>
      <c r="E30" s="41">
        <f>VLOOKUP(C30,A!C$21:E$973,3,FALSE)</f>
        <v>2913.0697314565236</v>
      </c>
      <c r="F30" s="3" t="s">
        <v>54</v>
      </c>
      <c r="G30" s="12" t="str">
        <f t="shared" si="4"/>
        <v>55084.5057</v>
      </c>
      <c r="H30" s="10">
        <f t="shared" si="5"/>
        <v>2913</v>
      </c>
      <c r="I30" s="42" t="s">
        <v>116</v>
      </c>
      <c r="J30" s="43" t="s">
        <v>117</v>
      </c>
      <c r="K30" s="42">
        <v>2913</v>
      </c>
      <c r="L30" s="42" t="s">
        <v>118</v>
      </c>
      <c r="M30" s="43" t="s">
        <v>110</v>
      </c>
      <c r="N30" s="43" t="s">
        <v>119</v>
      </c>
      <c r="O30" s="44" t="s">
        <v>120</v>
      </c>
      <c r="P30" s="45" t="s">
        <v>121</v>
      </c>
    </row>
    <row r="31" spans="1:16" ht="12.75" customHeight="1" thickBot="1">
      <c r="A31" s="10" t="str">
        <f t="shared" si="0"/>
        <v>BAVM 212 </v>
      </c>
      <c r="B31" s="3" t="str">
        <f t="shared" si="1"/>
        <v>I</v>
      </c>
      <c r="C31" s="10">
        <f t="shared" si="2"/>
        <v>55102.533499999998</v>
      </c>
      <c r="D31" s="12" t="str">
        <f t="shared" si="3"/>
        <v>vis</v>
      </c>
      <c r="E31" s="41">
        <f>VLOOKUP(C31,A!C$21:E$973,3,FALSE)</f>
        <v>2916.069265581843</v>
      </c>
      <c r="F31" s="3" t="s">
        <v>54</v>
      </c>
      <c r="G31" s="12" t="str">
        <f t="shared" si="4"/>
        <v>55102.5335</v>
      </c>
      <c r="H31" s="10">
        <f t="shared" si="5"/>
        <v>2916</v>
      </c>
      <c r="I31" s="42" t="s">
        <v>122</v>
      </c>
      <c r="J31" s="43" t="s">
        <v>123</v>
      </c>
      <c r="K31" s="42">
        <v>2916</v>
      </c>
      <c r="L31" s="42" t="s">
        <v>124</v>
      </c>
      <c r="M31" s="43" t="s">
        <v>110</v>
      </c>
      <c r="N31" s="43" t="s">
        <v>125</v>
      </c>
      <c r="O31" s="44" t="s">
        <v>126</v>
      </c>
      <c r="P31" s="45" t="s">
        <v>121</v>
      </c>
    </row>
    <row r="32" spans="1:16" ht="12.75" customHeight="1" thickBot="1">
      <c r="A32" s="10" t="str">
        <f t="shared" si="0"/>
        <v>BAVM 212 </v>
      </c>
      <c r="B32" s="3" t="str">
        <f t="shared" si="1"/>
        <v>I</v>
      </c>
      <c r="C32" s="10">
        <f t="shared" si="2"/>
        <v>55108.544900000001</v>
      </c>
      <c r="D32" s="12" t="str">
        <f t="shared" si="3"/>
        <v>vis</v>
      </c>
      <c r="E32" s="41">
        <f>VLOOKUP(C32,A!C$21:E$973,3,FALSE)</f>
        <v>2917.0694652424208</v>
      </c>
      <c r="F32" s="3" t="s">
        <v>54</v>
      </c>
      <c r="G32" s="12" t="str">
        <f t="shared" si="4"/>
        <v>55108.5449</v>
      </c>
      <c r="H32" s="10">
        <f t="shared" si="5"/>
        <v>2917</v>
      </c>
      <c r="I32" s="42" t="s">
        <v>127</v>
      </c>
      <c r="J32" s="43" t="s">
        <v>128</v>
      </c>
      <c r="K32" s="42" t="s">
        <v>129</v>
      </c>
      <c r="L32" s="42" t="s">
        <v>130</v>
      </c>
      <c r="M32" s="43" t="s">
        <v>110</v>
      </c>
      <c r="N32" s="43" t="s">
        <v>125</v>
      </c>
      <c r="O32" s="44" t="s">
        <v>126</v>
      </c>
      <c r="P32" s="45" t="s">
        <v>121</v>
      </c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</sheetData>
  <phoneticPr fontId="8" type="noConversion"/>
  <hyperlinks>
    <hyperlink ref="P11" r:id="rId1" display="http://www.konkoly.hu/cgi-bin/IBVS?5931"/>
    <hyperlink ref="P12" r:id="rId2" display="http://www.konkoly.hu/cgi-bin/IBVS?5931"/>
    <hyperlink ref="P30" r:id="rId3" display="http://www.bav-astro.de/sfs/BAVM_link.php?BAVMnr=212"/>
    <hyperlink ref="P31" r:id="rId4" display="http://www.bav-astro.de/sfs/BAVM_link.php?BAVMnr=212"/>
    <hyperlink ref="P32" r:id="rId5" display="http://www.bav-astro.de/sfs/BAVM_link.php?BAVMnr=212"/>
    <hyperlink ref="P13" r:id="rId6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2024-01-31T04:11:56Z</dcterms:modified>
</cp:coreProperties>
</file>